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545" tabRatio="792" activeTab="0"/>
  </bookViews>
  <sheets>
    <sheet name="Beräkningsdata" sheetId="1" r:id="rId1"/>
    <sheet name="Olja" sheetId="2" r:id="rId2"/>
    <sheet name="Elvärme" sheetId="3" r:id="rId3"/>
    <sheet name="Värmepump" sheetId="4" r:id="rId4"/>
    <sheet name="Fjärrvärme" sheetId="5" r:id="rId5"/>
    <sheet name="Pellets" sheetId="6" r:id="rId6"/>
  </sheets>
  <definedNames>
    <definedName name="_xlnm.Print_Area" localSheetId="0">'Beräkningsdata'!$C$1:$K$47</definedName>
    <definedName name="_xlnm.Print_Area" localSheetId="1">'Olja'!$B$1:$I$54</definedName>
    <definedName name="_xlnm.Print_Area" localSheetId="5">'Pellets'!$A$1:$J$59</definedName>
  </definedNames>
  <calcPr fullCalcOnLoad="1"/>
</workbook>
</file>

<file path=xl/comments1.xml><?xml version="1.0" encoding="utf-8"?>
<comments xmlns="http://schemas.openxmlformats.org/spreadsheetml/2006/main">
  <authors>
    <author>Jackass</author>
  </authors>
  <commentList>
    <comment ref="D16" authorId="0">
      <text>
        <r>
          <rPr>
            <b/>
            <sz val="8"/>
            <rFont val="Tahoma"/>
            <family val="0"/>
          </rPr>
          <t>Som kalkylränta kan du använda din låneränta eller utlåningsränta om du istället hade haft pengarna på banken.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Medelinflationen har varit 1,6% de senaste 10 åren 
år 2000: 1,0 %
år 2001: 2,4 %
år 2002: 2,2 %
år 2003: 1,9 %
år 2004: 0,4 %
år 2005: 0,5 %
år 2006: 1,4 %
år 2007: 2,2 %
år 2008: 3,4 %
år 2009: -0,3 %
år 2010: 1,3 %
[Källa Wikipedia]</t>
        </r>
      </text>
    </comment>
    <comment ref="D20" authorId="0">
      <text>
        <r>
          <rPr>
            <b/>
            <sz val="8"/>
            <rFont val="Tahoma"/>
            <family val="0"/>
          </rPr>
          <t>Totalkostnaden för de delar som behövs för att kunna ta tillvara solvärmen.</t>
        </r>
      </text>
    </comment>
    <comment ref="D18" authorId="0">
      <text>
        <r>
          <rPr>
            <b/>
            <sz val="8"/>
            <rFont val="Tahoma"/>
            <family val="2"/>
          </rPr>
          <t>Antal solfångare anger du här.</t>
        </r>
      </text>
    </comment>
    <comment ref="D21" authorId="0">
      <text>
        <r>
          <rPr>
            <b/>
            <sz val="8"/>
            <rFont val="Tahoma"/>
            <family val="0"/>
          </rPr>
          <t>Nyttjandegraden är den andel av solvärmen som kommer till nytta.</t>
        </r>
      </text>
    </comment>
    <comment ref="I16" authorId="0">
      <text>
        <r>
          <rPr>
            <b/>
            <sz val="8"/>
            <rFont val="Tahoma"/>
            <family val="0"/>
          </rPr>
          <t>Ange priset för oljevärmen här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Ange priset för elvärmen här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Ange priset för värmepumpsvärmen här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Ange priset för fjärrvärmen här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Ange priset för pelletsvärmen här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Beräknad ökning av värmekostnaden.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<sst xmlns="http://schemas.openxmlformats.org/spreadsheetml/2006/main" count="80" uniqueCount="41">
  <si>
    <t xml:space="preserve">Värmepump </t>
  </si>
  <si>
    <t>Livslängd</t>
  </si>
  <si>
    <t>Kalkylränta</t>
  </si>
  <si>
    <t>%</t>
  </si>
  <si>
    <t>Inflation</t>
  </si>
  <si>
    <t>m²</t>
  </si>
  <si>
    <t>kr</t>
  </si>
  <si>
    <t>Värmebesparing</t>
  </si>
  <si>
    <t>kWh/år</t>
  </si>
  <si>
    <t>kr/kWh</t>
  </si>
  <si>
    <t>Fjärrvärme</t>
  </si>
  <si>
    <t>CO2</t>
  </si>
  <si>
    <t>NOx</t>
  </si>
  <si>
    <t>SOx</t>
  </si>
  <si>
    <t>Värmepump</t>
  </si>
  <si>
    <t>år</t>
  </si>
  <si>
    <t>Investering</t>
  </si>
  <si>
    <t>Solvärme</t>
  </si>
  <si>
    <t>Oljevärme</t>
  </si>
  <si>
    <t>Elvärme</t>
  </si>
  <si>
    <t>Pelletsvärme</t>
  </si>
  <si>
    <t>Annuitetsfaktor</t>
  </si>
  <si>
    <t>År</t>
  </si>
  <si>
    <t>Ökning av värmekostnad</t>
  </si>
  <si>
    <t>%/år</t>
  </si>
  <si>
    <t>kr/år</t>
  </si>
  <si>
    <t>V</t>
  </si>
  <si>
    <t>[mg/kWh]</t>
  </si>
  <si>
    <t xml:space="preserve">                                                                                 Beräkningsresultat</t>
  </si>
  <si>
    <t>Total kostnad efter 20 år</t>
  </si>
  <si>
    <t>Antal solfångare</t>
  </si>
  <si>
    <t>st</t>
  </si>
  <si>
    <t>kr/kwh</t>
  </si>
  <si>
    <t>Nyttjandegrad</t>
  </si>
  <si>
    <t>Dagens  kostnader</t>
  </si>
  <si>
    <t>Utsläpp</t>
  </si>
  <si>
    <t>från</t>
  </si>
  <si>
    <t xml:space="preserve">Beräkningsdata </t>
  </si>
  <si>
    <r>
      <t>[kg/å</t>
    </r>
    <r>
      <rPr>
        <sz val="10"/>
        <rFont val="Arial"/>
        <family val="0"/>
      </rPr>
      <t>r]</t>
    </r>
  </si>
  <si>
    <t>Effektiv yta</t>
  </si>
  <si>
    <t>Se över och justera om nödvändigt de röda talen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</si>
</sst>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"/>
    <numFmt numFmtId="173" formatCode="0.0"/>
    <numFmt numFmtId="174" formatCode="_-* #,##0.0\ _k_r_-;\-* #,##0.0\ _k_r_-;_-* &quot;-&quot;??\ _k_r_-;_-@_-"/>
    <numFmt numFmtId="175" formatCode="_-* #,##0\ _k_r_-;\-* #,##0\ _k_r_-;_-* &quot;-&quot;??\ _k_r_-;_-@_-"/>
    <numFmt numFmtId="176" formatCode="[$-40C]dddd\ d\ mmmm\ yyyy"/>
    <numFmt numFmtId="177" formatCode="#,##0\ [$SEK];\-#,##0\ [$SEK]"/>
    <numFmt numFmtId="178" formatCode="#,##0\ [$SEK]"/>
    <numFmt numFmtId="179" formatCode="0.000000"/>
    <numFmt numFmtId="180" formatCode="0.00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1.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b/>
      <sz val="14.5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4.75"/>
      <color indexed="8"/>
      <name val="Arial"/>
      <family val="0"/>
    </font>
    <font>
      <b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double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2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1" fontId="0" fillId="33" borderId="26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2" fillId="33" borderId="37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0" fillId="33" borderId="37" xfId="0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0" fillId="33" borderId="40" xfId="0" applyFill="1" applyBorder="1" applyAlignment="1">
      <alignment/>
    </xf>
    <xf numFmtId="0" fontId="1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 horizontal="left"/>
    </xf>
    <xf numFmtId="1" fontId="0" fillId="33" borderId="25" xfId="0" applyNumberFormat="1" applyFill="1" applyBorder="1" applyAlignment="1">
      <alignment/>
    </xf>
    <xf numFmtId="9" fontId="0" fillId="33" borderId="44" xfId="0" applyNumberFormat="1" applyFont="1" applyFill="1" applyBorder="1" applyAlignment="1">
      <alignment/>
    </xf>
    <xf numFmtId="11" fontId="0" fillId="33" borderId="39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2" fontId="0" fillId="33" borderId="48" xfId="0" applyNumberForma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51" xfId="0" applyNumberFormat="1" applyFill="1" applyBorder="1" applyAlignment="1">
      <alignment/>
    </xf>
    <xf numFmtId="3" fontId="11" fillId="33" borderId="5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47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48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1" xfId="0" applyFill="1" applyBorder="1" applyAlignment="1">
      <alignment/>
    </xf>
    <xf numFmtId="2" fontId="0" fillId="33" borderId="50" xfId="0" applyNumberForma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9" fontId="0" fillId="33" borderId="14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54" xfId="0" applyFill="1" applyBorder="1" applyAlignment="1">
      <alignment/>
    </xf>
    <xf numFmtId="3" fontId="10" fillId="33" borderId="55" xfId="0" applyNumberFormat="1" applyFont="1" applyFill="1" applyBorder="1" applyAlignment="1">
      <alignment horizontal="center"/>
    </xf>
    <xf numFmtId="3" fontId="10" fillId="33" borderId="56" xfId="0" applyNumberFormat="1" applyFont="1" applyFill="1" applyBorder="1" applyAlignment="1">
      <alignment horizontal="center"/>
    </xf>
    <xf numFmtId="3" fontId="10" fillId="33" borderId="57" xfId="0" applyNumberFormat="1" applyFont="1" applyFill="1" applyBorder="1" applyAlignment="1">
      <alignment horizontal="center"/>
    </xf>
    <xf numFmtId="3" fontId="10" fillId="33" borderId="58" xfId="0" applyNumberFormat="1" applyFont="1" applyFill="1" applyBorder="1" applyAlignment="1">
      <alignment horizontal="center"/>
    </xf>
    <xf numFmtId="3" fontId="10" fillId="33" borderId="59" xfId="0" applyNumberFormat="1" applyFont="1" applyFill="1" applyBorder="1" applyAlignment="1">
      <alignment horizontal="center"/>
    </xf>
    <xf numFmtId="3" fontId="10" fillId="33" borderId="60" xfId="0" applyNumberFormat="1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3" fontId="10" fillId="33" borderId="33" xfId="0" applyNumberFormat="1" applyFont="1" applyFill="1" applyBorder="1" applyAlignment="1">
      <alignment horizontal="center"/>
    </xf>
    <xf numFmtId="3" fontId="10" fillId="33" borderId="37" xfId="0" applyNumberFormat="1" applyFont="1" applyFill="1" applyBorder="1" applyAlignment="1">
      <alignment horizontal="center"/>
    </xf>
    <xf numFmtId="3" fontId="10" fillId="33" borderId="43" xfId="0" applyNumberFormat="1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57" xfId="0" applyNumberFormat="1" applyFill="1" applyBorder="1" applyAlignment="1">
      <alignment horizontal="center"/>
    </xf>
    <xf numFmtId="1" fontId="0" fillId="33" borderId="37" xfId="0" applyNumberFormat="1" applyFill="1" applyBorder="1" applyAlignment="1">
      <alignment horizontal="center"/>
    </xf>
    <xf numFmtId="173" fontId="0" fillId="33" borderId="58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173" fontId="0" fillId="33" borderId="59" xfId="0" applyNumberFormat="1" applyFill="1" applyBorder="1" applyAlignment="1">
      <alignment horizontal="center"/>
    </xf>
    <xf numFmtId="173" fontId="0" fillId="33" borderId="60" xfId="0" applyNumberForma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173" fontId="10" fillId="33" borderId="24" xfId="0" applyNumberFormat="1" applyFont="1" applyFill="1" applyBorder="1" applyAlignment="1">
      <alignment/>
    </xf>
    <xf numFmtId="173" fontId="10" fillId="33" borderId="24" xfId="0" applyNumberFormat="1" applyFont="1" applyFill="1" applyBorder="1" applyAlignment="1">
      <alignment horizontal="right"/>
    </xf>
    <xf numFmtId="173" fontId="10" fillId="33" borderId="67" xfId="0" applyNumberFormat="1" applyFont="1" applyFill="1" applyBorder="1" applyAlignment="1">
      <alignment/>
    </xf>
    <xf numFmtId="0" fontId="0" fillId="33" borderId="68" xfId="0" applyFill="1" applyBorder="1" applyAlignment="1">
      <alignment/>
    </xf>
    <xf numFmtId="0" fontId="0" fillId="0" borderId="0" xfId="0" applyBorder="1" applyAlignment="1">
      <alignment/>
    </xf>
    <xf numFmtId="0" fontId="10" fillId="33" borderId="29" xfId="0" applyFont="1" applyFill="1" applyBorder="1" applyAlignment="1">
      <alignment/>
    </xf>
    <xf numFmtId="0" fontId="1" fillId="33" borderId="61" xfId="0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1" fillId="33" borderId="72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wrapText="1"/>
    </xf>
    <xf numFmtId="0" fontId="9" fillId="33" borderId="70" xfId="0" applyFont="1" applyFill="1" applyBorder="1" applyAlignment="1">
      <alignment horizontal="left"/>
    </xf>
    <xf numFmtId="0" fontId="9" fillId="33" borderId="71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12" fillId="33" borderId="70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12" fillId="33" borderId="73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74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5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225"/>
          <c:w val="0.8737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Beräkningsdata!$B$113:$C$113</c:f>
              <c:strCache>
                <c:ptCount val="1"/>
                <c:pt idx="0">
                  <c:v>Oljevärme kr/kWh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Beräkningsdata!$D$113:$W$113</c:f>
              <c:numCache>
                <c:ptCount val="20"/>
                <c:pt idx="0">
                  <c:v>1.4</c:v>
                </c:pt>
                <c:pt idx="1">
                  <c:v>1.47</c:v>
                </c:pt>
                <c:pt idx="2">
                  <c:v>1.5434999999999999</c:v>
                </c:pt>
                <c:pt idx="3">
                  <c:v>1.620675</c:v>
                </c:pt>
                <c:pt idx="4">
                  <c:v>1.7017087499999999</c:v>
                </c:pt>
                <c:pt idx="5">
                  <c:v>1.7867941875</c:v>
                </c:pt>
                <c:pt idx="6">
                  <c:v>1.8761338968749999</c:v>
                </c:pt>
                <c:pt idx="7">
                  <c:v>1.9699405917187502</c:v>
                </c:pt>
                <c:pt idx="8">
                  <c:v>2.0684376213046876</c:v>
                </c:pt>
                <c:pt idx="9">
                  <c:v>2.171859502369922</c:v>
                </c:pt>
                <c:pt idx="10">
                  <c:v>2.280452477488418</c:v>
                </c:pt>
                <c:pt idx="11">
                  <c:v>2.394475101362839</c:v>
                </c:pt>
                <c:pt idx="12">
                  <c:v>2.5141988564309807</c:v>
                </c:pt>
                <c:pt idx="13">
                  <c:v>2.63990879925253</c:v>
                </c:pt>
                <c:pt idx="14">
                  <c:v>2.7719042392151563</c:v>
                </c:pt>
                <c:pt idx="15">
                  <c:v>2.910499451175915</c:v>
                </c:pt>
                <c:pt idx="16">
                  <c:v>3.0560244237347103</c:v>
                </c:pt>
                <c:pt idx="17">
                  <c:v>3.208825644921446</c:v>
                </c:pt>
                <c:pt idx="18">
                  <c:v>3.3692669271675184</c:v>
                </c:pt>
                <c:pt idx="19">
                  <c:v>3.537730273525894</c:v>
                </c:pt>
              </c:numCache>
            </c:numRef>
          </c:val>
          <c:smooth val="0"/>
        </c:ser>
        <c:marker val="1"/>
        <c:axId val="22722199"/>
        <c:axId val="3173200"/>
      </c:line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1815"/>
          <c:w val="0.479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29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"/>
          <c:w val="0.90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Beräkningsdata!$B$120</c:f>
              <c:strCache>
                <c:ptCount val="1"/>
                <c:pt idx="0">
                  <c:v>Pelletsvärme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Beräkningsdata!$Y$120</c:f>
              <c:numCache>
                <c:ptCount val="1"/>
                <c:pt idx="0">
                  <c:v>82708.22757355699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delete val="1"/>
        <c:majorTickMark val="out"/>
        <c:minorTickMark val="none"/>
        <c:tickLblPos val="none"/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0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 </a:t>
            </a:r>
          </a:p>
        </c:rich>
      </c:tx>
      <c:layout>
        <c:manualLayout>
          <c:xMode val="factor"/>
          <c:yMode val="factor"/>
          <c:x val="0.024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25"/>
          <c:w val="0.889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SEK]" sourceLinked="0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\ [$SEK]" sourceLinked="0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Beräkningsdata!$B$112</c:f>
              <c:strCache>
                <c:ptCount val="1"/>
                <c:pt idx="0">
                  <c:v>Oljevärme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SEK]" sourceLinked="0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\ [$SEK]" sourceLinked="0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Beräkningsdata!$Y$112</c:f>
              <c:numCache>
                <c:ptCount val="1"/>
                <c:pt idx="0">
                  <c:v>144432.08752141657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delete val="1"/>
        <c:majorTickMark val="out"/>
        <c:minorTickMark val="none"/>
        <c:tickLblPos val="none"/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20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1"/>
          <c:w val="0.91"/>
          <c:h val="0.789"/>
        </c:manualLayout>
      </c:layout>
      <c:lineChart>
        <c:grouping val="standard"/>
        <c:varyColors val="0"/>
        <c:ser>
          <c:idx val="4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Beräkningsdata!$B$115:$C$115</c:f>
              <c:strCache>
                <c:ptCount val="1"/>
                <c:pt idx="0">
                  <c:v>Elvärme kr/kWh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Beräkningsdata!$D$115:$W$115</c:f>
              <c:numCache>
                <c:ptCount val="20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1.1576250000000001</c:v>
                </c:pt>
                <c:pt idx="4">
                  <c:v>1.21550625</c:v>
                </c:pt>
                <c:pt idx="5">
                  <c:v>1.2762815625000001</c:v>
                </c:pt>
                <c:pt idx="6">
                  <c:v>1.340095640625</c:v>
                </c:pt>
                <c:pt idx="7">
                  <c:v>1.4071004226562502</c:v>
                </c:pt>
                <c:pt idx="8">
                  <c:v>1.4774554437890626</c:v>
                </c:pt>
                <c:pt idx="9">
                  <c:v>1.5513282159785158</c:v>
                </c:pt>
                <c:pt idx="10">
                  <c:v>1.6288946267774416</c:v>
                </c:pt>
                <c:pt idx="11">
                  <c:v>1.7103393581163138</c:v>
                </c:pt>
                <c:pt idx="12">
                  <c:v>1.7958563260221292</c:v>
                </c:pt>
                <c:pt idx="13">
                  <c:v>1.885649142323236</c:v>
                </c:pt>
                <c:pt idx="14">
                  <c:v>1.9799315994393973</c:v>
                </c:pt>
                <c:pt idx="15">
                  <c:v>2.078928179411368</c:v>
                </c:pt>
                <c:pt idx="16">
                  <c:v>2.182874588381936</c:v>
                </c:pt>
                <c:pt idx="17">
                  <c:v>2.292018317801033</c:v>
                </c:pt>
                <c:pt idx="18">
                  <c:v>2.4066192336910848</c:v>
                </c:pt>
                <c:pt idx="19">
                  <c:v>2.526950195375639</c:v>
                </c:pt>
              </c:numCache>
            </c:numRef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244"/>
          <c:w val="0.36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3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914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Beräkningsdata!$B$114</c:f>
              <c:strCache>
                <c:ptCount val="1"/>
                <c:pt idx="0">
                  <c:v>Elvärme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Beräkningsdata!$Y$114</c:f>
              <c:numCache>
                <c:ptCount val="1"/>
                <c:pt idx="0">
                  <c:v>103165.77680101183</c:v>
                </c:pt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1"/>
        <c:majorTickMark val="out"/>
        <c:minorTickMark val="none"/>
        <c:tickLblPos val="none"/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0.036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625"/>
          <c:w val="0.8915"/>
          <c:h val="0.80925"/>
        </c:manualLayout>
      </c:layout>
      <c:lineChart>
        <c:grouping val="standard"/>
        <c:varyColors val="0"/>
        <c:ser>
          <c:idx val="5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Beräkningsdata!$B$117:$C$117</c:f>
              <c:strCache>
                <c:ptCount val="1"/>
                <c:pt idx="0">
                  <c:v>Värmepump  kr/kWh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Beräkningsdata!$D$117:$W$117</c:f>
              <c:numCache>
                <c:ptCount val="20"/>
                <c:pt idx="0">
                  <c:v>0.35</c:v>
                </c:pt>
                <c:pt idx="1">
                  <c:v>0.3675</c:v>
                </c:pt>
                <c:pt idx="2">
                  <c:v>0.38587499999999997</c:v>
                </c:pt>
                <c:pt idx="3">
                  <c:v>0.40516875</c:v>
                </c:pt>
                <c:pt idx="4">
                  <c:v>0.42542718749999997</c:v>
                </c:pt>
                <c:pt idx="5">
                  <c:v>0.446698546875</c:v>
                </c:pt>
                <c:pt idx="6">
                  <c:v>0.46903347421874997</c:v>
                </c:pt>
                <c:pt idx="7">
                  <c:v>0.49248514792968756</c:v>
                </c:pt>
                <c:pt idx="8">
                  <c:v>0.5171094053261719</c:v>
                </c:pt>
                <c:pt idx="9">
                  <c:v>0.5429648755924805</c:v>
                </c:pt>
                <c:pt idx="10">
                  <c:v>0.5701131193721045</c:v>
                </c:pt>
                <c:pt idx="11">
                  <c:v>0.5986187753407097</c:v>
                </c:pt>
                <c:pt idx="12">
                  <c:v>0.6285497141077452</c:v>
                </c:pt>
                <c:pt idx="13">
                  <c:v>0.6599771998131325</c:v>
                </c:pt>
                <c:pt idx="14">
                  <c:v>0.6929760598037891</c:v>
                </c:pt>
                <c:pt idx="15">
                  <c:v>0.7276248627939788</c:v>
                </c:pt>
                <c:pt idx="16">
                  <c:v>0.7640061059336776</c:v>
                </c:pt>
                <c:pt idx="17">
                  <c:v>0.8022064112303615</c:v>
                </c:pt>
                <c:pt idx="18">
                  <c:v>0.8423167317918796</c:v>
                </c:pt>
                <c:pt idx="19">
                  <c:v>0.8844325683814735</c:v>
                </c:pt>
              </c:numCache>
            </c:numRef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"/>
          <c:y val="0.222"/>
          <c:w val="0.408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05"/>
          <c:w val="0.90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Beräkningsdata!$B$116</c:f>
              <c:strCache>
                <c:ptCount val="1"/>
                <c:pt idx="0">
                  <c:v>Värmepump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Beräkningsdata!$Y$116</c:f>
              <c:numCache>
                <c:ptCount val="1"/>
                <c:pt idx="0">
                  <c:v>36108.02188035414</c:v>
                </c:pt>
              </c:numCache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delete val="1"/>
        <c:majorTickMark val="out"/>
        <c:minorTickMark val="none"/>
        <c:tickLblPos val="none"/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79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525"/>
          <c:w val="0.9205"/>
          <c:h val="0.79525"/>
        </c:manualLayout>
      </c:layout>
      <c:lineChart>
        <c:grouping val="standard"/>
        <c:varyColors val="0"/>
        <c:ser>
          <c:idx val="7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Beräkningsdata!$B$119:$C$119</c:f>
              <c:strCache>
                <c:ptCount val="1"/>
                <c:pt idx="0">
                  <c:v>Fjärrvärme kr/kWh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Beräkningsdata!$D$119:$W$119</c:f>
              <c:numCache>
                <c:ptCount val="20"/>
                <c:pt idx="0">
                  <c:v>0.6</c:v>
                </c:pt>
                <c:pt idx="1">
                  <c:v>0.6825000000000001</c:v>
                </c:pt>
                <c:pt idx="2">
                  <c:v>0.7166250000000001</c:v>
                </c:pt>
                <c:pt idx="3">
                  <c:v>0.7524562500000002</c:v>
                </c:pt>
                <c:pt idx="4">
                  <c:v>0.7900790625</c:v>
                </c:pt>
                <c:pt idx="5">
                  <c:v>0.8295830156250001</c:v>
                </c:pt>
                <c:pt idx="6">
                  <c:v>0.87106216640625</c:v>
                </c:pt>
                <c:pt idx="7">
                  <c:v>0.9146152747265627</c:v>
                </c:pt>
                <c:pt idx="8">
                  <c:v>0.9603460384628907</c:v>
                </c:pt>
                <c:pt idx="9">
                  <c:v>1.0083633403860353</c:v>
                </c:pt>
                <c:pt idx="10">
                  <c:v>1.058781507405337</c:v>
                </c:pt>
                <c:pt idx="11">
                  <c:v>1.111720582775604</c:v>
                </c:pt>
                <c:pt idx="12">
                  <c:v>1.167306611914384</c:v>
                </c:pt>
                <c:pt idx="13">
                  <c:v>1.2256719425101035</c:v>
                </c:pt>
                <c:pt idx="14">
                  <c:v>1.2869555396356083</c:v>
                </c:pt>
                <c:pt idx="15">
                  <c:v>1.3513033166173891</c:v>
                </c:pt>
                <c:pt idx="16">
                  <c:v>1.4188684824482585</c:v>
                </c:pt>
                <c:pt idx="17">
                  <c:v>1.4898119065706716</c:v>
                </c:pt>
                <c:pt idx="18">
                  <c:v>1.5643025018992052</c:v>
                </c:pt>
                <c:pt idx="19">
                  <c:v>1.6425176269941655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75"/>
          <c:y val="0.18225"/>
          <c:w val="0.389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Totalkostnad efter 20 år</a:t>
            </a:r>
          </a:p>
        </c:rich>
      </c:tx>
      <c:layout>
        <c:manualLayout>
          <c:xMode val="factor"/>
          <c:yMode val="factor"/>
          <c:x val="-0.027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6425"/>
          <c:w val="0.782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Beräkningsdata!$B$118</c:f>
              <c:strCache>
                <c:ptCount val="1"/>
                <c:pt idx="0">
                  <c:v>Fjärrvärme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Beräkningsdata!$Y$118</c:f>
              <c:numCache>
                <c:ptCount val="1"/>
                <c:pt idx="0">
                  <c:v>66901.7549206577</c:v>
                </c:pt>
              </c:numCache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b"/>
        <c:delete val="1"/>
        <c:majorTickMark val="out"/>
        <c:minorTickMark val="none"/>
        <c:tickLblPos val="none"/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13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"/>
          <c:w val="0.9085"/>
          <c:h val="0.80075"/>
        </c:manualLayout>
      </c:layout>
      <c:lineChart>
        <c:grouping val="standard"/>
        <c:varyColors val="0"/>
        <c:ser>
          <c:idx val="9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Beräkningsdata!$B$121:$C$121</c:f>
              <c:strCache>
                <c:ptCount val="1"/>
                <c:pt idx="0">
                  <c:v>Pelletsvärme kr/kWh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Beräkningsdata!$D$121:$W$121</c:f>
              <c:numCache>
                <c:ptCount val="20"/>
                <c:pt idx="0">
                  <c:v>0.8</c:v>
                </c:pt>
                <c:pt idx="1">
                  <c:v>0.8400000000000001</c:v>
                </c:pt>
                <c:pt idx="2">
                  <c:v>0.8820000000000001</c:v>
                </c:pt>
                <c:pt idx="3">
                  <c:v>0.9261000000000001</c:v>
                </c:pt>
                <c:pt idx="4">
                  <c:v>0.9724050000000001</c:v>
                </c:pt>
                <c:pt idx="5">
                  <c:v>1.02102525</c:v>
                </c:pt>
                <c:pt idx="6">
                  <c:v>1.0720765125</c:v>
                </c:pt>
                <c:pt idx="7">
                  <c:v>1.1256803381250002</c:v>
                </c:pt>
                <c:pt idx="8">
                  <c:v>1.1819643550312502</c:v>
                </c:pt>
                <c:pt idx="9">
                  <c:v>1.2410625727828126</c:v>
                </c:pt>
                <c:pt idx="10">
                  <c:v>1.3031157014219534</c:v>
                </c:pt>
                <c:pt idx="11">
                  <c:v>1.3682714864930512</c:v>
                </c:pt>
                <c:pt idx="12">
                  <c:v>1.4366850608177035</c:v>
                </c:pt>
                <c:pt idx="13">
                  <c:v>1.5085193138585888</c:v>
                </c:pt>
                <c:pt idx="14">
                  <c:v>1.5839452795515179</c:v>
                </c:pt>
                <c:pt idx="15">
                  <c:v>1.6631425435290943</c:v>
                </c:pt>
                <c:pt idx="16">
                  <c:v>1.746299670705549</c:v>
                </c:pt>
                <c:pt idx="17">
                  <c:v>1.8336146542408267</c:v>
                </c:pt>
                <c:pt idx="18">
                  <c:v>1.925295386952868</c:v>
                </c:pt>
                <c:pt idx="19">
                  <c:v>2.0215601563005112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24625"/>
          <c:w val="0.406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10</xdr:col>
      <xdr:colOff>457200</xdr:colOff>
      <xdr:row>11</xdr:row>
      <xdr:rowOff>123825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r="44335" b="74211"/>
        <a:stretch>
          <a:fillRect/>
        </a:stretch>
      </xdr:blipFill>
      <xdr:spPr>
        <a:xfrm>
          <a:off x="581025" y="38100"/>
          <a:ext cx="54292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0.7835</cdr:y>
    </cdr:from>
    <cdr:to>
      <cdr:x>0.9865</cdr:x>
      <cdr:y>0.89125</cdr:y>
    </cdr:to>
    <cdr:sp>
      <cdr:nvSpPr>
        <cdr:cNvPr id="1" name="textruta 1"/>
        <cdr:cNvSpPr txBox="1">
          <a:spLocks noChangeArrowheads="1"/>
        </cdr:cNvSpPr>
      </cdr:nvSpPr>
      <cdr:spPr>
        <a:xfrm>
          <a:off x="6162675" y="2609850"/>
          <a:ext cx="762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123825</xdr:rowOff>
    </xdr:from>
    <xdr:to>
      <xdr:col>9</xdr:col>
      <xdr:colOff>466725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95275" y="2228850"/>
        <a:ext cx="7029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36</xdr:row>
      <xdr:rowOff>38100</xdr:rowOff>
    </xdr:from>
    <xdr:to>
      <xdr:col>9</xdr:col>
      <xdr:colOff>476250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333375" y="5867400"/>
        <a:ext cx="70008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352425</xdr:colOff>
      <xdr:row>0</xdr:row>
      <xdr:rowOff>66675</xdr:rowOff>
    </xdr:from>
    <xdr:to>
      <xdr:col>9</xdr:col>
      <xdr:colOff>466725</xdr:colOff>
      <xdr:row>11</xdr:row>
      <xdr:rowOff>152400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52425" y="66675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0.76375</cdr:y>
    </cdr:from>
    <cdr:to>
      <cdr:x>0.9885</cdr:x>
      <cdr:y>0.88125</cdr:y>
    </cdr:to>
    <cdr:sp>
      <cdr:nvSpPr>
        <cdr:cNvPr id="1" name="textruta 1"/>
        <cdr:cNvSpPr txBox="1">
          <a:spLocks noChangeArrowheads="1"/>
        </cdr:cNvSpPr>
      </cdr:nvSpPr>
      <cdr:spPr>
        <a:xfrm>
          <a:off x="4800600" y="2428875"/>
          <a:ext cx="752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 år 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9525</xdr:rowOff>
    </xdr:from>
    <xdr:to>
      <xdr:col>8</xdr:col>
      <xdr:colOff>733425</xdr:colOff>
      <xdr:row>31</xdr:row>
      <xdr:rowOff>114300</xdr:rowOff>
    </xdr:to>
    <xdr:graphicFrame>
      <xdr:nvGraphicFramePr>
        <xdr:cNvPr id="1" name="Chart 1027"/>
        <xdr:cNvGraphicFramePr/>
      </xdr:nvGraphicFramePr>
      <xdr:xfrm>
        <a:off x="371475" y="1952625"/>
        <a:ext cx="5629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33</xdr:row>
      <xdr:rowOff>38100</xdr:rowOff>
    </xdr:from>
    <xdr:to>
      <xdr:col>8</xdr:col>
      <xdr:colOff>714375</xdr:colOff>
      <xdr:row>52</xdr:row>
      <xdr:rowOff>47625</xdr:rowOff>
    </xdr:to>
    <xdr:graphicFrame>
      <xdr:nvGraphicFramePr>
        <xdr:cNvPr id="2" name="Chart 1029"/>
        <xdr:cNvGraphicFramePr/>
      </xdr:nvGraphicFramePr>
      <xdr:xfrm>
        <a:off x="361950" y="5381625"/>
        <a:ext cx="56197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114300</xdr:rowOff>
    </xdr:from>
    <xdr:to>
      <xdr:col>8</xdr:col>
      <xdr:colOff>723900</xdr:colOff>
      <xdr:row>10</xdr:row>
      <xdr:rowOff>47625</xdr:rowOff>
    </xdr:to>
    <xdr:pic>
      <xdr:nvPicPr>
        <xdr:cNvPr id="3" name="Picture 1218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42900" y="114300"/>
          <a:ext cx="56483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-0.01575</cdr:y>
    </cdr:from>
    <cdr:to>
      <cdr:x>-0.00675</cdr:x>
      <cdr:y>-0.01575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0.9885</cdr:x>
      <cdr:y>0.808</cdr:y>
    </cdr:from>
    <cdr:to>
      <cdr:x>0.998</cdr:x>
      <cdr:y>0.92025</cdr:y>
    </cdr:to>
    <cdr:sp>
      <cdr:nvSpPr>
        <cdr:cNvPr id="2" name="textruta 2"/>
        <cdr:cNvSpPr txBox="1">
          <a:spLocks noChangeArrowheads="1"/>
        </cdr:cNvSpPr>
      </cdr:nvSpPr>
      <cdr:spPr>
        <a:xfrm>
          <a:off x="6943725" y="2619375"/>
          <a:ext cx="66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15</xdr:row>
      <xdr:rowOff>28575</xdr:rowOff>
    </xdr:from>
    <xdr:to>
      <xdr:col>9</xdr:col>
      <xdr:colOff>600075</xdr:colOff>
      <xdr:row>35</xdr:row>
      <xdr:rowOff>38100</xdr:rowOff>
    </xdr:to>
    <xdr:graphicFrame>
      <xdr:nvGraphicFramePr>
        <xdr:cNvPr id="1" name="Chart 1026"/>
        <xdr:cNvGraphicFramePr/>
      </xdr:nvGraphicFramePr>
      <xdr:xfrm>
        <a:off x="428625" y="2457450"/>
        <a:ext cx="702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35</xdr:row>
      <xdr:rowOff>152400</xdr:rowOff>
    </xdr:from>
    <xdr:to>
      <xdr:col>9</xdr:col>
      <xdr:colOff>647700</xdr:colOff>
      <xdr:row>53</xdr:row>
      <xdr:rowOff>152400</xdr:rowOff>
    </xdr:to>
    <xdr:graphicFrame>
      <xdr:nvGraphicFramePr>
        <xdr:cNvPr id="2" name="Chart 1028"/>
        <xdr:cNvGraphicFramePr/>
      </xdr:nvGraphicFramePr>
      <xdr:xfrm>
        <a:off x="419100" y="5819775"/>
        <a:ext cx="7086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0</xdr:row>
      <xdr:rowOff>38100</xdr:rowOff>
    </xdr:from>
    <xdr:to>
      <xdr:col>9</xdr:col>
      <xdr:colOff>581025</xdr:colOff>
      <xdr:row>11</xdr:row>
      <xdr:rowOff>123825</xdr:rowOff>
    </xdr:to>
    <xdr:pic>
      <xdr:nvPicPr>
        <xdr:cNvPr id="3" name="Picture 1217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466725" y="38100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0.8395</cdr:x>
      <cdr:y>0.77575</cdr:y>
    </cdr:from>
    <cdr:to>
      <cdr:x>1</cdr:x>
      <cdr:y>0.9135</cdr:y>
    </cdr:to>
    <cdr:sp>
      <cdr:nvSpPr>
        <cdr:cNvPr id="1" name="textruta 1"/>
        <cdr:cNvSpPr txBox="1">
          <a:spLocks noChangeArrowheads="1"/>
        </cdr:cNvSpPr>
      </cdr:nvSpPr>
      <cdr:spPr>
        <a:xfrm>
          <a:off x="5857875" y="2428875"/>
          <a:ext cx="1123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15</xdr:row>
      <xdr:rowOff>95250</xdr:rowOff>
    </xdr:from>
    <xdr:to>
      <xdr:col>9</xdr:col>
      <xdr:colOff>485775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361950" y="2524125"/>
        <a:ext cx="6981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36</xdr:row>
      <xdr:rowOff>38100</xdr:rowOff>
    </xdr:from>
    <xdr:to>
      <xdr:col>9</xdr:col>
      <xdr:colOff>485775</xdr:colOff>
      <xdr:row>53</xdr:row>
      <xdr:rowOff>114300</xdr:rowOff>
    </xdr:to>
    <xdr:graphicFrame>
      <xdr:nvGraphicFramePr>
        <xdr:cNvPr id="2" name="Chart 4"/>
        <xdr:cNvGraphicFramePr/>
      </xdr:nvGraphicFramePr>
      <xdr:xfrm>
        <a:off x="361950" y="5867400"/>
        <a:ext cx="6981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76200</xdr:rowOff>
    </xdr:from>
    <xdr:to>
      <xdr:col>9</xdr:col>
      <xdr:colOff>457200</xdr:colOff>
      <xdr:row>12</xdr:row>
      <xdr:rowOff>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42900" y="76200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0.757</cdr:y>
    </cdr:from>
    <cdr:to>
      <cdr:x>0.98525</cdr:x>
      <cdr:y>0.871</cdr:y>
    </cdr:to>
    <cdr:sp>
      <cdr:nvSpPr>
        <cdr:cNvPr id="1" name="textruta 1"/>
        <cdr:cNvSpPr txBox="1">
          <a:spLocks noChangeArrowheads="1"/>
        </cdr:cNvSpPr>
      </cdr:nvSpPr>
      <cdr:spPr>
        <a:xfrm>
          <a:off x="6257925" y="2667000"/>
          <a:ext cx="6477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142875</xdr:rowOff>
    </xdr:from>
    <xdr:to>
      <xdr:col>9</xdr:col>
      <xdr:colOff>447675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295275" y="2409825"/>
        <a:ext cx="7010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35</xdr:row>
      <xdr:rowOff>66675</xdr:rowOff>
    </xdr:from>
    <xdr:to>
      <xdr:col>9</xdr:col>
      <xdr:colOff>466725</xdr:colOff>
      <xdr:row>53</xdr:row>
      <xdr:rowOff>152400</xdr:rowOff>
    </xdr:to>
    <xdr:graphicFrame>
      <xdr:nvGraphicFramePr>
        <xdr:cNvPr id="2" name="Chart 5"/>
        <xdr:cNvGraphicFramePr/>
      </xdr:nvGraphicFramePr>
      <xdr:xfrm>
        <a:off x="323850" y="6153150"/>
        <a:ext cx="70008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9</xdr:col>
      <xdr:colOff>438150</xdr:colOff>
      <xdr:row>11</xdr:row>
      <xdr:rowOff>152400</xdr:rowOff>
    </xdr:to>
    <xdr:pic>
      <xdr:nvPicPr>
        <xdr:cNvPr id="3" name="Picture 194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23850" y="66675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48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2.140625" style="5" customWidth="1"/>
    <col min="2" max="2" width="6.28125" style="5" customWidth="1"/>
    <col min="3" max="3" width="13.8515625" style="5" customWidth="1"/>
    <col min="4" max="4" width="12.140625" style="5" customWidth="1"/>
    <col min="5" max="5" width="10.00390625" style="5" customWidth="1"/>
    <col min="6" max="6" width="8.00390625" style="5" bestFit="1" customWidth="1"/>
    <col min="7" max="7" width="8.7109375" style="5" customWidth="1"/>
    <col min="8" max="8" width="7.00390625" style="5" bestFit="1" customWidth="1"/>
    <col min="9" max="12" width="7.57421875" style="5" bestFit="1" customWidth="1"/>
    <col min="13" max="13" width="9.00390625" style="5" customWidth="1"/>
    <col min="14" max="17" width="7.57421875" style="5" bestFit="1" customWidth="1"/>
    <col min="18" max="22" width="7.57421875" style="5" customWidth="1"/>
    <col min="23" max="23" width="7.57421875" style="5" bestFit="1" customWidth="1"/>
    <col min="24" max="24" width="2.00390625" style="5" customWidth="1"/>
    <col min="25" max="25" width="8.00390625" style="5" customWidth="1"/>
    <col min="26" max="26" width="3.00390625" style="5" customWidth="1"/>
    <col min="27" max="28" width="6.00390625" style="5" bestFit="1" customWidth="1"/>
    <col min="29" max="29" width="5.00390625" style="5" bestFit="1" customWidth="1"/>
    <col min="30" max="31" width="6.00390625" style="5" bestFit="1" customWidth="1"/>
    <col min="32" max="33" width="7.00390625" style="5" bestFit="1" customWidth="1"/>
    <col min="34" max="16384" width="9.140625" style="5" customWidth="1"/>
  </cols>
  <sheetData>
    <row r="1" spans="7:14" ht="12.75">
      <c r="G1" s="22"/>
      <c r="H1" s="23"/>
      <c r="I1" s="23"/>
      <c r="J1" s="15"/>
      <c r="K1" s="24"/>
      <c r="L1" s="23"/>
      <c r="M1" s="25"/>
      <c r="N1" s="15"/>
    </row>
    <row r="2" spans="3:14" ht="12.75">
      <c r="C2" s="26"/>
      <c r="D2" s="26"/>
      <c r="E2" s="26"/>
      <c r="F2" s="26"/>
      <c r="G2" s="27"/>
      <c r="H2" s="81"/>
      <c r="I2" s="81"/>
      <c r="J2" s="30"/>
      <c r="K2" s="24"/>
      <c r="L2" s="23"/>
      <c r="M2" s="25"/>
      <c r="N2" s="15"/>
    </row>
    <row r="3" spans="3:14" ht="12.75">
      <c r="C3" s="26"/>
      <c r="D3" s="26"/>
      <c r="E3" s="26"/>
      <c r="F3" s="26"/>
      <c r="G3" s="27"/>
      <c r="H3" s="81"/>
      <c r="I3" s="81"/>
      <c r="J3" s="30"/>
      <c r="K3" s="24"/>
      <c r="L3" s="23"/>
      <c r="M3" s="25"/>
      <c r="N3" s="15"/>
    </row>
    <row r="4" spans="3:14" ht="12.75">
      <c r="C4" s="26"/>
      <c r="D4" s="26"/>
      <c r="E4" s="26"/>
      <c r="F4" s="26"/>
      <c r="G4" s="27"/>
      <c r="H4" s="81"/>
      <c r="I4" s="81"/>
      <c r="J4" s="30"/>
      <c r="K4" s="24"/>
      <c r="L4" s="23"/>
      <c r="M4" s="25"/>
      <c r="N4" s="15"/>
    </row>
    <row r="5" spans="3:14" ht="12.75">
      <c r="C5" s="26"/>
      <c r="D5" s="26"/>
      <c r="E5" s="26"/>
      <c r="F5" s="26"/>
      <c r="G5" s="27"/>
      <c r="H5" s="81"/>
      <c r="I5" s="81"/>
      <c r="J5" s="30"/>
      <c r="K5" s="24"/>
      <c r="L5" s="23"/>
      <c r="M5" s="25"/>
      <c r="N5" s="15"/>
    </row>
    <row r="6" spans="3:14" ht="12.75">
      <c r="C6" s="26"/>
      <c r="D6" s="26"/>
      <c r="E6" s="26"/>
      <c r="F6" s="26"/>
      <c r="G6" s="27"/>
      <c r="H6" s="81"/>
      <c r="I6" s="81"/>
      <c r="J6" s="30"/>
      <c r="K6" s="24"/>
      <c r="L6" s="23"/>
      <c r="M6" s="25"/>
      <c r="N6" s="15"/>
    </row>
    <row r="7" spans="3:14" ht="12.75">
      <c r="C7" s="26"/>
      <c r="D7" s="26"/>
      <c r="E7" s="26"/>
      <c r="F7" s="26"/>
      <c r="G7" s="27"/>
      <c r="H7" s="81"/>
      <c r="I7" s="81"/>
      <c r="J7" s="30"/>
      <c r="K7" s="24"/>
      <c r="L7" s="23"/>
      <c r="M7" s="25"/>
      <c r="N7" s="15"/>
    </row>
    <row r="8" spans="3:14" ht="12.75">
      <c r="C8" s="26"/>
      <c r="D8" s="26"/>
      <c r="E8" s="26"/>
      <c r="F8" s="26"/>
      <c r="G8" s="27"/>
      <c r="H8" s="81"/>
      <c r="I8" s="81"/>
      <c r="J8" s="30"/>
      <c r="K8" s="24"/>
      <c r="L8" s="23"/>
      <c r="M8" s="25"/>
      <c r="N8" s="15"/>
    </row>
    <row r="9" spans="3:14" ht="12.75">
      <c r="C9" s="26"/>
      <c r="D9" s="26"/>
      <c r="E9" s="26"/>
      <c r="F9" s="26"/>
      <c r="G9" s="27"/>
      <c r="H9" s="81"/>
      <c r="I9" s="81"/>
      <c r="J9" s="30"/>
      <c r="K9" s="24"/>
      <c r="L9" s="23"/>
      <c r="M9" s="25"/>
      <c r="N9" s="15"/>
    </row>
    <row r="10" spans="3:14" ht="12.75">
      <c r="C10" s="26"/>
      <c r="D10" s="26"/>
      <c r="E10" s="26"/>
      <c r="F10" s="26"/>
      <c r="G10" s="27"/>
      <c r="H10" s="81"/>
      <c r="I10" s="81"/>
      <c r="J10" s="30"/>
      <c r="K10" s="24"/>
      <c r="L10" s="23"/>
      <c r="M10" s="25"/>
      <c r="N10" s="15"/>
    </row>
    <row r="11" spans="3:14" ht="12.75">
      <c r="C11" s="26"/>
      <c r="D11" s="26"/>
      <c r="E11" s="26"/>
      <c r="F11" s="26"/>
      <c r="G11" s="27"/>
      <c r="H11" s="81"/>
      <c r="I11" s="81"/>
      <c r="J11" s="30"/>
      <c r="K11" s="24"/>
      <c r="L11" s="23"/>
      <c r="M11" s="25"/>
      <c r="N11" s="15"/>
    </row>
    <row r="12" spans="3:14" ht="12.75">
      <c r="C12" s="26"/>
      <c r="D12" s="26"/>
      <c r="E12" s="26"/>
      <c r="F12" s="26"/>
      <c r="G12" s="27"/>
      <c r="H12" s="81"/>
      <c r="I12" s="81"/>
      <c r="J12" s="30"/>
      <c r="K12" s="24"/>
      <c r="L12" s="23"/>
      <c r="M12" s="25"/>
      <c r="N12" s="15"/>
    </row>
    <row r="13" spans="3:14" ht="18.75" thickBot="1">
      <c r="C13" s="115" t="s">
        <v>40</v>
      </c>
      <c r="D13" s="26"/>
      <c r="E13" s="26"/>
      <c r="F13" s="26"/>
      <c r="G13" s="27"/>
      <c r="H13" s="28"/>
      <c r="I13" s="29"/>
      <c r="J13" s="30"/>
      <c r="K13" s="24"/>
      <c r="L13" s="31"/>
      <c r="M13" s="32"/>
      <c r="N13" s="15"/>
    </row>
    <row r="14" spans="1:13" ht="18.75" thickBot="1">
      <c r="A14" s="22"/>
      <c r="B14" s="22"/>
      <c r="C14" s="121" t="s">
        <v>37</v>
      </c>
      <c r="D14" s="122"/>
      <c r="E14" s="122"/>
      <c r="F14" s="122"/>
      <c r="G14" s="123"/>
      <c r="H14" s="123"/>
      <c r="I14" s="123"/>
      <c r="J14" s="124"/>
      <c r="K14" s="15"/>
      <c r="L14" s="23"/>
      <c r="M14" s="23"/>
    </row>
    <row r="15" spans="1:11" ht="13.5" customHeight="1">
      <c r="A15" s="22"/>
      <c r="B15" s="22"/>
      <c r="C15" s="33" t="s">
        <v>1</v>
      </c>
      <c r="D15" s="34">
        <v>20</v>
      </c>
      <c r="E15" s="35" t="s">
        <v>15</v>
      </c>
      <c r="F15" s="36"/>
      <c r="G15" s="116" t="s">
        <v>34</v>
      </c>
      <c r="H15" s="117"/>
      <c r="I15" s="117"/>
      <c r="J15" s="118"/>
      <c r="K15" s="15"/>
    </row>
    <row r="16" spans="1:11" ht="13.5" customHeight="1">
      <c r="A16" s="22"/>
      <c r="B16" s="22"/>
      <c r="C16" s="37" t="s">
        <v>2</v>
      </c>
      <c r="D16" s="111">
        <v>4</v>
      </c>
      <c r="E16" s="38" t="s">
        <v>3</v>
      </c>
      <c r="F16" s="39"/>
      <c r="G16" s="133" t="s">
        <v>18</v>
      </c>
      <c r="H16" s="134"/>
      <c r="I16" s="16">
        <v>1.4</v>
      </c>
      <c r="J16" s="38" t="s">
        <v>32</v>
      </c>
      <c r="K16" s="15"/>
    </row>
    <row r="17" spans="1:11" ht="13.5" customHeight="1">
      <c r="A17" s="22"/>
      <c r="B17" s="22"/>
      <c r="C17" s="37" t="s">
        <v>4</v>
      </c>
      <c r="D17" s="111">
        <v>2</v>
      </c>
      <c r="E17" s="38" t="s">
        <v>3</v>
      </c>
      <c r="F17" s="39"/>
      <c r="G17" s="133" t="s">
        <v>19</v>
      </c>
      <c r="H17" s="134"/>
      <c r="I17" s="110">
        <v>1</v>
      </c>
      <c r="J17" s="38" t="s">
        <v>32</v>
      </c>
      <c r="K17" s="15"/>
    </row>
    <row r="18" spans="1:11" ht="13.5" customHeight="1">
      <c r="A18" s="22"/>
      <c r="B18" s="22"/>
      <c r="C18" s="37" t="s">
        <v>30</v>
      </c>
      <c r="D18" s="40">
        <v>3</v>
      </c>
      <c r="E18" s="41" t="s">
        <v>31</v>
      </c>
      <c r="F18" s="39"/>
      <c r="G18" s="133" t="s">
        <v>14</v>
      </c>
      <c r="H18" s="134"/>
      <c r="I18" s="16">
        <v>0.35</v>
      </c>
      <c r="J18" s="38" t="s">
        <v>32</v>
      </c>
      <c r="K18" s="15"/>
    </row>
    <row r="19" spans="1:11" ht="13.5" customHeight="1">
      <c r="A19" s="22"/>
      <c r="B19" s="22"/>
      <c r="C19" s="37" t="s">
        <v>39</v>
      </c>
      <c r="D19" s="42">
        <f>2.3*D18</f>
        <v>6.8999999999999995</v>
      </c>
      <c r="E19" s="38" t="s">
        <v>5</v>
      </c>
      <c r="F19" s="39"/>
      <c r="G19" s="133" t="s">
        <v>10</v>
      </c>
      <c r="H19" s="134"/>
      <c r="I19" s="16">
        <v>0.65</v>
      </c>
      <c r="J19" s="38" t="s">
        <v>32</v>
      </c>
      <c r="K19" s="15"/>
    </row>
    <row r="20" spans="1:11" ht="13.5" customHeight="1" thickBot="1">
      <c r="A20" s="22"/>
      <c r="B20" s="22"/>
      <c r="C20" s="43" t="s">
        <v>16</v>
      </c>
      <c r="D20" s="44">
        <v>30000</v>
      </c>
      <c r="E20" s="38" t="s">
        <v>6</v>
      </c>
      <c r="F20" s="39"/>
      <c r="G20" s="137" t="s">
        <v>20</v>
      </c>
      <c r="H20" s="138"/>
      <c r="I20" s="17">
        <v>0.8</v>
      </c>
      <c r="J20" s="95" t="s">
        <v>32</v>
      </c>
      <c r="K20" s="15"/>
    </row>
    <row r="21" spans="1:11" ht="13.5" customHeight="1">
      <c r="A21" s="22"/>
      <c r="B21" s="22"/>
      <c r="C21" s="45" t="s">
        <v>33</v>
      </c>
      <c r="D21" s="46">
        <v>80</v>
      </c>
      <c r="E21" s="47" t="s">
        <v>3</v>
      </c>
      <c r="F21" s="39"/>
      <c r="K21" s="15"/>
    </row>
    <row r="22" spans="1:10" ht="13.5" customHeight="1" thickBot="1">
      <c r="A22" s="22"/>
      <c r="B22" s="22"/>
      <c r="C22" s="48" t="s">
        <v>7</v>
      </c>
      <c r="D22" s="49">
        <f>D19*1300/2.3*D21/100</f>
        <v>3120.0000000000005</v>
      </c>
      <c r="E22" s="50" t="s">
        <v>8</v>
      </c>
      <c r="F22" s="39"/>
      <c r="G22" s="18"/>
      <c r="H22" s="19"/>
      <c r="I22" s="20"/>
      <c r="J22" s="14"/>
    </row>
    <row r="23" spans="1:9" ht="13.5" customHeight="1">
      <c r="A23" s="22"/>
      <c r="B23" s="22"/>
      <c r="F23" s="51"/>
      <c r="G23" s="23"/>
      <c r="H23" s="23"/>
      <c r="I23" s="14"/>
    </row>
    <row r="24" spans="1:11" ht="13.5" customHeight="1" thickBot="1">
      <c r="A24" s="22"/>
      <c r="B24" s="22"/>
      <c r="C24" s="52"/>
      <c r="D24" s="52"/>
      <c r="E24" s="23"/>
      <c r="F24" s="15"/>
      <c r="G24" s="52"/>
      <c r="H24" s="52"/>
      <c r="I24" s="26"/>
      <c r="J24" s="26"/>
      <c r="K24" s="26"/>
    </row>
    <row r="25" spans="1:11" ht="13.5" customHeight="1" thickBot="1">
      <c r="A25" s="22"/>
      <c r="B25" s="22"/>
      <c r="C25" s="11" t="s">
        <v>21</v>
      </c>
      <c r="D25" s="21">
        <f>(D16/100)/((1-(1+(D16/100))^(-D15)))</f>
        <v>0.07358175032862883</v>
      </c>
      <c r="E25" s="15"/>
      <c r="F25" s="39"/>
      <c r="G25" s="130" t="s">
        <v>23</v>
      </c>
      <c r="H25" s="131"/>
      <c r="I25" s="132"/>
      <c r="J25" s="112">
        <v>3</v>
      </c>
      <c r="K25" s="10" t="s">
        <v>24</v>
      </c>
    </row>
    <row r="26" spans="2:11" ht="13.5" customHeight="1">
      <c r="B26" s="26"/>
      <c r="C26" s="23"/>
      <c r="D26" s="53"/>
      <c r="E26" s="23"/>
      <c r="G26" s="53"/>
      <c r="H26" s="23"/>
      <c r="I26" s="23"/>
      <c r="J26" s="23"/>
      <c r="K26" s="23"/>
    </row>
    <row r="27" spans="1:3" ht="13.5" customHeight="1">
      <c r="A27" s="22"/>
      <c r="B27" s="20"/>
      <c r="C27" s="15"/>
    </row>
    <row r="28" spans="1:23" ht="13.5" customHeight="1" thickBot="1">
      <c r="A28" s="22"/>
      <c r="C28" s="1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3.5" customHeight="1" thickBot="1">
      <c r="A29" s="22"/>
      <c r="C29" s="15"/>
      <c r="D29" s="96" t="s">
        <v>35</v>
      </c>
      <c r="E29" s="1" t="s">
        <v>11</v>
      </c>
      <c r="F29" s="2" t="s">
        <v>12</v>
      </c>
      <c r="G29" s="3" t="s">
        <v>13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3.5" customHeight="1" thickBot="1">
      <c r="A30" s="22"/>
      <c r="C30" s="15"/>
      <c r="D30" s="97" t="s">
        <v>36</v>
      </c>
      <c r="E30" s="135" t="s">
        <v>27</v>
      </c>
      <c r="F30" s="122"/>
      <c r="G30" s="13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3.5" customHeight="1">
      <c r="A31" s="22"/>
      <c r="C31" s="15"/>
      <c r="D31" s="89" t="s">
        <v>18</v>
      </c>
      <c r="E31" s="92">
        <f>353250</f>
        <v>353250</v>
      </c>
      <c r="F31" s="84">
        <v>405</v>
      </c>
      <c r="G31" s="85">
        <v>173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6" ht="13.5" customHeight="1">
      <c r="A32" s="27"/>
      <c r="C32" s="15"/>
      <c r="D32" s="90" t="s">
        <v>20</v>
      </c>
      <c r="E32" s="93">
        <v>1980</v>
      </c>
      <c r="F32" s="83">
        <v>365</v>
      </c>
      <c r="G32" s="86">
        <v>191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7" ht="13.5" customHeight="1">
      <c r="A33" s="22"/>
      <c r="C33" s="15"/>
      <c r="D33" s="90" t="s">
        <v>19</v>
      </c>
      <c r="E33" s="93">
        <v>99491</v>
      </c>
      <c r="F33" s="83">
        <v>132</v>
      </c>
      <c r="G33" s="86">
        <v>98</v>
      </c>
      <c r="AA33" s="15"/>
    </row>
    <row r="34" spans="1:27" ht="13.5" customHeight="1" thickBot="1">
      <c r="A34" s="22"/>
      <c r="C34" s="15"/>
      <c r="D34" s="91" t="s">
        <v>14</v>
      </c>
      <c r="E34" s="94">
        <v>36790</v>
      </c>
      <c r="F34" s="87">
        <v>49</v>
      </c>
      <c r="G34" s="88">
        <v>36</v>
      </c>
      <c r="AA34" s="15"/>
    </row>
    <row r="35" spans="1:27" ht="13.5" customHeight="1" thickBot="1">
      <c r="A35" s="22"/>
      <c r="C35" s="15"/>
      <c r="D35" s="52"/>
      <c r="E35" s="23"/>
      <c r="F35" s="23"/>
      <c r="G35" s="23"/>
      <c r="AA35" s="15"/>
    </row>
    <row r="36" spans="1:27" ht="13.5" customHeight="1" thickBot="1">
      <c r="A36" s="22"/>
      <c r="C36" s="39"/>
      <c r="D36" s="96" t="s">
        <v>35</v>
      </c>
      <c r="E36" s="1" t="s">
        <v>11</v>
      </c>
      <c r="F36" s="2" t="s">
        <v>12</v>
      </c>
      <c r="G36" s="3" t="s">
        <v>13</v>
      </c>
      <c r="AA36" s="15"/>
    </row>
    <row r="37" spans="1:27" ht="13.5" customHeight="1" thickBot="1">
      <c r="A37" s="22"/>
      <c r="C37" s="39"/>
      <c r="D37" s="97" t="s">
        <v>36</v>
      </c>
      <c r="E37" s="119" t="s">
        <v>38</v>
      </c>
      <c r="F37" s="119"/>
      <c r="G37" s="120"/>
      <c r="AA37" s="54"/>
    </row>
    <row r="38" spans="1:27" ht="13.5" customHeight="1">
      <c r="A38" s="22"/>
      <c r="C38" s="59"/>
      <c r="D38" s="109" t="s">
        <v>18</v>
      </c>
      <c r="E38" s="99">
        <f aca="true" t="shared" si="0" ref="E38:G41">(E31*$D$22)/1000000</f>
        <v>1102.1400000000003</v>
      </c>
      <c r="F38" s="100">
        <f t="shared" si="0"/>
        <v>1.2636000000000003</v>
      </c>
      <c r="G38" s="101">
        <f t="shared" si="0"/>
        <v>0.5397600000000001</v>
      </c>
      <c r="H38" s="15"/>
      <c r="AA38" s="15"/>
    </row>
    <row r="39" spans="1:27" ht="13.5" customHeight="1">
      <c r="A39" s="22"/>
      <c r="C39" s="39"/>
      <c r="D39" s="107" t="s">
        <v>20</v>
      </c>
      <c r="E39" s="102">
        <f t="shared" si="0"/>
        <v>6.177600000000001</v>
      </c>
      <c r="F39" s="98">
        <f t="shared" si="0"/>
        <v>1.1388000000000003</v>
      </c>
      <c r="G39" s="103">
        <f t="shared" si="0"/>
        <v>0.5959200000000001</v>
      </c>
      <c r="H39" s="15"/>
      <c r="AA39" s="15"/>
    </row>
    <row r="40" spans="1:27" ht="13.5" customHeight="1">
      <c r="A40" s="22"/>
      <c r="C40" s="39"/>
      <c r="D40" s="107" t="s">
        <v>19</v>
      </c>
      <c r="E40" s="102">
        <f t="shared" si="0"/>
        <v>310.41192000000007</v>
      </c>
      <c r="F40" s="98">
        <f t="shared" si="0"/>
        <v>0.41184000000000004</v>
      </c>
      <c r="G40" s="103">
        <f t="shared" si="0"/>
        <v>0.30576000000000003</v>
      </c>
      <c r="H40" s="15"/>
      <c r="AA40" s="15"/>
    </row>
    <row r="41" spans="1:27" ht="13.5" customHeight="1" thickBot="1">
      <c r="A41" s="22"/>
      <c r="B41" s="114"/>
      <c r="C41" s="39"/>
      <c r="D41" s="108" t="s">
        <v>14</v>
      </c>
      <c r="E41" s="104">
        <f t="shared" si="0"/>
        <v>114.78480000000002</v>
      </c>
      <c r="F41" s="105">
        <f t="shared" si="0"/>
        <v>0.15288000000000002</v>
      </c>
      <c r="G41" s="106">
        <f t="shared" si="0"/>
        <v>0.11232000000000002</v>
      </c>
      <c r="H41" s="30"/>
      <c r="AA41" s="15"/>
    </row>
    <row r="42" spans="1:27" ht="13.5" customHeight="1">
      <c r="A42" s="22"/>
      <c r="B42" s="113"/>
      <c r="D42" s="23"/>
      <c r="E42" s="23"/>
      <c r="F42" s="23"/>
      <c r="G42" s="23"/>
      <c r="H42" s="76"/>
      <c r="AA42" s="15"/>
    </row>
    <row r="43" spans="1:27" ht="13.5" customHeight="1">
      <c r="A43" s="22"/>
      <c r="B43" s="22"/>
      <c r="H43" s="24"/>
      <c r="AA43" s="15"/>
    </row>
    <row r="44" spans="1:27" ht="13.5" customHeight="1">
      <c r="A44" s="22"/>
      <c r="B44" s="22"/>
      <c r="H44" s="77"/>
      <c r="AA44" s="15"/>
    </row>
    <row r="45" spans="1:27" ht="13.5" customHeight="1">
      <c r="A45" s="22"/>
      <c r="B45" s="22"/>
      <c r="H45" s="78"/>
      <c r="AA45" s="15"/>
    </row>
    <row r="46" spans="1:27" ht="13.5" customHeight="1">
      <c r="A46" s="22"/>
      <c r="B46" s="22"/>
      <c r="H46" s="79"/>
      <c r="AA46" s="15"/>
    </row>
    <row r="47" spans="1:27" ht="13.5" customHeight="1">
      <c r="A47" s="22"/>
      <c r="B47" s="22"/>
      <c r="C47" s="80"/>
      <c r="D47" s="80"/>
      <c r="E47" s="80"/>
      <c r="F47" s="80"/>
      <c r="G47" s="80"/>
      <c r="H47" s="80"/>
      <c r="AA47" s="15"/>
    </row>
    <row r="48" spans="1:27" ht="16.5" customHeight="1">
      <c r="A48" s="22"/>
      <c r="B48" s="22"/>
      <c r="C48" s="79"/>
      <c r="D48" s="79"/>
      <c r="E48" s="79"/>
      <c r="F48" s="79"/>
      <c r="G48" s="79"/>
      <c r="H48" s="79"/>
      <c r="AA48" s="15"/>
    </row>
    <row r="49" spans="1:27" ht="16.5" customHeight="1">
      <c r="A49" s="22"/>
      <c r="B49" s="22"/>
      <c r="C49" s="52"/>
      <c r="D49" s="52"/>
      <c r="E49" s="52"/>
      <c r="F49" s="52"/>
      <c r="G49" s="52"/>
      <c r="H49" s="15"/>
      <c r="AA49" s="15"/>
    </row>
    <row r="50" spans="1:27" ht="16.5" customHeight="1">
      <c r="A50" s="22"/>
      <c r="B50" s="22"/>
      <c r="C50" s="52"/>
      <c r="D50" s="52"/>
      <c r="E50" s="52"/>
      <c r="F50" s="52"/>
      <c r="G50" s="52"/>
      <c r="H50" s="15"/>
      <c r="AA50" s="15"/>
    </row>
    <row r="51" spans="1:27" ht="16.5" customHeight="1">
      <c r="A51" s="22"/>
      <c r="B51" s="22"/>
      <c r="C51" s="52"/>
      <c r="D51" s="52"/>
      <c r="E51" s="52"/>
      <c r="F51" s="52"/>
      <c r="G51" s="52"/>
      <c r="H51" s="15"/>
      <c r="AA51" s="15"/>
    </row>
    <row r="52" spans="1:27" ht="16.5" customHeight="1">
      <c r="A52" s="22"/>
      <c r="B52" s="22"/>
      <c r="C52" s="52"/>
      <c r="D52" s="52"/>
      <c r="E52" s="52"/>
      <c r="F52" s="52"/>
      <c r="G52" s="52"/>
      <c r="H52" s="15"/>
      <c r="AA52" s="15"/>
    </row>
    <row r="53" spans="1:27" ht="16.5" customHeight="1">
      <c r="A53" s="22"/>
      <c r="B53" s="22"/>
      <c r="C53" s="52"/>
      <c r="D53" s="52"/>
      <c r="E53" s="52"/>
      <c r="F53" s="52"/>
      <c r="G53" s="52"/>
      <c r="H53" s="15"/>
      <c r="AA53" s="15"/>
    </row>
    <row r="54" spans="1:27" ht="16.5" customHeight="1">
      <c r="A54" s="22"/>
      <c r="B54" s="22"/>
      <c r="C54" s="52"/>
      <c r="D54" s="52"/>
      <c r="E54" s="52"/>
      <c r="F54" s="52"/>
      <c r="G54" s="52"/>
      <c r="H54" s="15"/>
      <c r="AA54" s="15"/>
    </row>
    <row r="55" spans="1:27" ht="16.5" customHeight="1">
      <c r="A55" s="22"/>
      <c r="B55" s="22"/>
      <c r="C55" s="52"/>
      <c r="D55" s="52"/>
      <c r="E55" s="52"/>
      <c r="F55" s="52"/>
      <c r="G55" s="52"/>
      <c r="H55" s="15"/>
      <c r="AA55" s="15"/>
    </row>
    <row r="56" spans="1:27" ht="16.5" customHeight="1">
      <c r="A56" s="22"/>
      <c r="B56" s="22"/>
      <c r="C56" s="52"/>
      <c r="D56" s="52"/>
      <c r="E56" s="52"/>
      <c r="F56" s="52"/>
      <c r="G56" s="52"/>
      <c r="H56" s="15"/>
      <c r="AA56" s="15"/>
    </row>
    <row r="57" spans="1:27" ht="16.5" customHeight="1">
      <c r="A57" s="22"/>
      <c r="B57" s="22"/>
      <c r="C57" s="52"/>
      <c r="D57" s="52"/>
      <c r="E57" s="52"/>
      <c r="F57" s="52"/>
      <c r="G57" s="52"/>
      <c r="H57" s="15"/>
      <c r="AA57" s="15"/>
    </row>
    <row r="58" spans="1:27" ht="16.5" customHeight="1">
      <c r="A58" s="22"/>
      <c r="B58" s="22"/>
      <c r="C58" s="52"/>
      <c r="D58" s="52"/>
      <c r="E58" s="52"/>
      <c r="F58" s="52"/>
      <c r="G58" s="52"/>
      <c r="H58" s="15"/>
      <c r="AA58" s="15"/>
    </row>
    <row r="59" spans="1:27" ht="16.5" customHeight="1">
      <c r="A59" s="22"/>
      <c r="B59" s="22"/>
      <c r="C59" s="52"/>
      <c r="D59" s="52"/>
      <c r="E59" s="52"/>
      <c r="F59" s="52"/>
      <c r="G59" s="52"/>
      <c r="H59" s="15"/>
      <c r="AA59" s="15"/>
    </row>
    <row r="60" spans="1:27" ht="16.5" customHeight="1">
      <c r="A60" s="22"/>
      <c r="B60" s="22"/>
      <c r="C60" s="52"/>
      <c r="D60" s="52"/>
      <c r="E60" s="52"/>
      <c r="F60" s="52"/>
      <c r="G60" s="52"/>
      <c r="H60" s="15"/>
      <c r="AA60" s="15"/>
    </row>
    <row r="61" spans="1:27" ht="16.5" customHeight="1">
      <c r="A61" s="22"/>
      <c r="B61" s="22"/>
      <c r="C61" s="52"/>
      <c r="D61" s="52"/>
      <c r="E61" s="52"/>
      <c r="F61" s="52"/>
      <c r="G61" s="52"/>
      <c r="H61" s="15"/>
      <c r="AA61" s="15"/>
    </row>
    <row r="62" spans="1:27" ht="16.5" customHeight="1">
      <c r="A62" s="22"/>
      <c r="B62" s="22"/>
      <c r="C62" s="52"/>
      <c r="D62" s="52"/>
      <c r="E62" s="52"/>
      <c r="F62" s="52"/>
      <c r="G62" s="52"/>
      <c r="H62" s="15"/>
      <c r="AA62" s="15"/>
    </row>
    <row r="63" spans="1:27" ht="16.5" customHeight="1">
      <c r="A63" s="22"/>
      <c r="B63" s="22"/>
      <c r="C63" s="52"/>
      <c r="D63" s="52"/>
      <c r="E63" s="52"/>
      <c r="F63" s="52"/>
      <c r="G63" s="52"/>
      <c r="H63" s="15"/>
      <c r="AA63" s="15"/>
    </row>
    <row r="64" spans="1:27" ht="16.5" customHeight="1">
      <c r="A64" s="22"/>
      <c r="B64" s="22"/>
      <c r="C64" s="52"/>
      <c r="D64" s="52"/>
      <c r="E64" s="52"/>
      <c r="F64" s="52"/>
      <c r="G64" s="52"/>
      <c r="H64" s="15"/>
      <c r="AA64" s="15"/>
    </row>
    <row r="65" spans="1:27" ht="16.5" customHeight="1">
      <c r="A65" s="22"/>
      <c r="B65" s="22"/>
      <c r="C65" s="52"/>
      <c r="D65" s="52"/>
      <c r="E65" s="52"/>
      <c r="F65" s="52"/>
      <c r="G65" s="52"/>
      <c r="H65" s="15"/>
      <c r="AA65" s="15"/>
    </row>
    <row r="66" spans="1:27" ht="16.5" customHeight="1">
      <c r="A66" s="22"/>
      <c r="B66" s="22"/>
      <c r="C66" s="52"/>
      <c r="D66" s="52"/>
      <c r="E66" s="52"/>
      <c r="F66" s="52"/>
      <c r="G66" s="52"/>
      <c r="H66" s="15"/>
      <c r="AA66" s="15"/>
    </row>
    <row r="67" spans="1:27" ht="16.5" customHeight="1">
      <c r="A67" s="22"/>
      <c r="B67" s="22"/>
      <c r="C67" s="52"/>
      <c r="D67" s="52"/>
      <c r="E67" s="52"/>
      <c r="F67" s="52"/>
      <c r="G67" s="52"/>
      <c r="H67" s="15"/>
      <c r="AA67" s="15"/>
    </row>
    <row r="68" spans="1:27" ht="16.5" customHeight="1">
      <c r="A68" s="22"/>
      <c r="B68" s="22"/>
      <c r="C68" s="52"/>
      <c r="D68" s="52"/>
      <c r="E68" s="52"/>
      <c r="F68" s="52"/>
      <c r="G68" s="52"/>
      <c r="H68" s="15"/>
      <c r="AA68" s="15"/>
    </row>
    <row r="69" spans="1:27" ht="16.5" customHeight="1">
      <c r="A69" s="22"/>
      <c r="B69" s="22"/>
      <c r="C69" s="52"/>
      <c r="D69" s="52"/>
      <c r="E69" s="52"/>
      <c r="F69" s="52"/>
      <c r="G69" s="52"/>
      <c r="H69" s="15"/>
      <c r="AA69" s="15"/>
    </row>
    <row r="70" spans="1:27" ht="16.5" customHeight="1">
      <c r="A70" s="22"/>
      <c r="B70" s="22"/>
      <c r="C70" s="52"/>
      <c r="D70" s="52"/>
      <c r="E70" s="52"/>
      <c r="F70" s="52"/>
      <c r="G70" s="52"/>
      <c r="H70" s="15"/>
      <c r="AA70" s="15"/>
    </row>
    <row r="71" spans="1:27" ht="16.5" customHeight="1">
      <c r="A71" s="22"/>
      <c r="B71" s="22"/>
      <c r="C71" s="52"/>
      <c r="D71" s="52"/>
      <c r="E71" s="52"/>
      <c r="F71" s="52"/>
      <c r="G71" s="52"/>
      <c r="H71" s="15"/>
      <c r="AA71" s="15"/>
    </row>
    <row r="72" spans="1:27" ht="16.5" customHeight="1">
      <c r="A72" s="22"/>
      <c r="B72" s="22"/>
      <c r="C72" s="52"/>
      <c r="D72" s="52"/>
      <c r="E72" s="52"/>
      <c r="F72" s="52"/>
      <c r="G72" s="52"/>
      <c r="H72" s="15"/>
      <c r="AA72" s="15"/>
    </row>
    <row r="73" spans="1:27" ht="16.5" customHeight="1">
      <c r="A73" s="22"/>
      <c r="B73" s="22"/>
      <c r="C73" s="52"/>
      <c r="D73" s="52"/>
      <c r="E73" s="52"/>
      <c r="F73" s="52"/>
      <c r="G73" s="52"/>
      <c r="H73" s="15"/>
      <c r="AA73" s="15"/>
    </row>
    <row r="74" spans="1:27" ht="16.5" customHeight="1">
      <c r="A74" s="22"/>
      <c r="B74" s="22"/>
      <c r="C74" s="52"/>
      <c r="D74" s="52"/>
      <c r="E74" s="52"/>
      <c r="F74" s="52"/>
      <c r="G74" s="52"/>
      <c r="H74" s="15"/>
      <c r="AA74" s="15"/>
    </row>
    <row r="75" spans="1:27" ht="16.5" customHeight="1">
      <c r="A75" s="22"/>
      <c r="B75" s="22"/>
      <c r="C75" s="52"/>
      <c r="D75" s="52"/>
      <c r="E75" s="52"/>
      <c r="F75" s="52"/>
      <c r="G75" s="52"/>
      <c r="H75" s="15"/>
      <c r="AA75" s="15"/>
    </row>
    <row r="76" spans="1:27" ht="16.5" customHeight="1">
      <c r="A76" s="22"/>
      <c r="B76" s="22"/>
      <c r="C76" s="52"/>
      <c r="D76" s="52"/>
      <c r="E76" s="52"/>
      <c r="F76" s="52"/>
      <c r="G76" s="52"/>
      <c r="H76" s="15"/>
      <c r="AA76" s="15"/>
    </row>
    <row r="77" spans="1:27" ht="16.5" customHeight="1">
      <c r="A77" s="22"/>
      <c r="B77" s="22"/>
      <c r="C77" s="52"/>
      <c r="D77" s="52"/>
      <c r="E77" s="52"/>
      <c r="F77" s="52"/>
      <c r="G77" s="52"/>
      <c r="H77" s="15"/>
      <c r="AA77" s="15"/>
    </row>
    <row r="78" spans="1:27" ht="16.5" customHeight="1">
      <c r="A78" s="22"/>
      <c r="B78" s="22"/>
      <c r="C78" s="52"/>
      <c r="D78" s="52"/>
      <c r="E78" s="52"/>
      <c r="F78" s="52"/>
      <c r="G78" s="52"/>
      <c r="H78" s="15"/>
      <c r="AA78" s="15"/>
    </row>
    <row r="79" spans="1:27" ht="16.5" customHeight="1">
      <c r="A79" s="22"/>
      <c r="B79" s="22"/>
      <c r="C79" s="52"/>
      <c r="D79" s="52"/>
      <c r="E79" s="52"/>
      <c r="F79" s="52"/>
      <c r="G79" s="52"/>
      <c r="H79" s="15"/>
      <c r="AA79" s="15"/>
    </row>
    <row r="80" spans="1:27" ht="16.5" customHeight="1">
      <c r="A80" s="22"/>
      <c r="B80" s="22"/>
      <c r="C80" s="52"/>
      <c r="D80" s="52"/>
      <c r="E80" s="52"/>
      <c r="F80" s="52"/>
      <c r="G80" s="52"/>
      <c r="H80" s="15"/>
      <c r="AA80" s="15"/>
    </row>
    <row r="81" spans="1:27" ht="16.5" customHeight="1">
      <c r="A81" s="22"/>
      <c r="B81" s="22"/>
      <c r="C81" s="52"/>
      <c r="D81" s="52"/>
      <c r="E81" s="52"/>
      <c r="F81" s="52"/>
      <c r="G81" s="52"/>
      <c r="H81" s="15"/>
      <c r="AA81" s="15"/>
    </row>
    <row r="82" spans="1:27" ht="16.5" customHeight="1">
      <c r="A82" s="22"/>
      <c r="B82" s="22"/>
      <c r="C82" s="52"/>
      <c r="D82" s="52"/>
      <c r="E82" s="52"/>
      <c r="F82" s="52"/>
      <c r="G82" s="52"/>
      <c r="H82" s="15"/>
      <c r="AA82" s="15"/>
    </row>
    <row r="83" spans="1:27" ht="16.5" customHeight="1">
      <c r="A83" s="22"/>
      <c r="B83" s="22"/>
      <c r="C83" s="52"/>
      <c r="D83" s="52"/>
      <c r="E83" s="52"/>
      <c r="F83" s="52"/>
      <c r="G83" s="52"/>
      <c r="H83" s="15"/>
      <c r="AA83" s="15"/>
    </row>
    <row r="84" spans="1:27" ht="16.5" customHeight="1">
      <c r="A84" s="22"/>
      <c r="B84" s="22"/>
      <c r="C84" s="52"/>
      <c r="D84" s="52"/>
      <c r="E84" s="52"/>
      <c r="F84" s="52"/>
      <c r="G84" s="52"/>
      <c r="H84" s="15"/>
      <c r="AA84" s="15"/>
    </row>
    <row r="85" spans="1:27" ht="16.5" customHeight="1">
      <c r="A85" s="22"/>
      <c r="B85" s="22"/>
      <c r="C85" s="52"/>
      <c r="D85" s="52"/>
      <c r="E85" s="52"/>
      <c r="F85" s="52"/>
      <c r="G85" s="52"/>
      <c r="H85" s="15"/>
      <c r="AA85" s="15"/>
    </row>
    <row r="86" spans="1:27" ht="16.5" customHeight="1">
      <c r="A86" s="22"/>
      <c r="B86" s="22"/>
      <c r="C86" s="52"/>
      <c r="D86" s="52"/>
      <c r="E86" s="52"/>
      <c r="F86" s="52"/>
      <c r="G86" s="52"/>
      <c r="H86" s="15"/>
      <c r="AA86" s="15"/>
    </row>
    <row r="87" spans="1:27" ht="16.5" customHeight="1">
      <c r="A87" s="22"/>
      <c r="B87" s="22"/>
      <c r="C87" s="52"/>
      <c r="D87" s="52"/>
      <c r="E87" s="52"/>
      <c r="F87" s="52"/>
      <c r="G87" s="52"/>
      <c r="H87" s="15"/>
      <c r="AA87" s="15"/>
    </row>
    <row r="88" spans="1:27" ht="16.5" customHeight="1">
      <c r="A88" s="22"/>
      <c r="B88" s="22"/>
      <c r="C88" s="52"/>
      <c r="D88" s="52"/>
      <c r="E88" s="52"/>
      <c r="F88" s="52"/>
      <c r="G88" s="52"/>
      <c r="H88" s="15"/>
      <c r="AA88" s="15"/>
    </row>
    <row r="89" spans="1:27" ht="16.5" customHeight="1">
      <c r="A89" s="22"/>
      <c r="B89" s="22"/>
      <c r="C89" s="52"/>
      <c r="D89" s="52"/>
      <c r="E89" s="52"/>
      <c r="F89" s="52"/>
      <c r="G89" s="52"/>
      <c r="H89" s="15"/>
      <c r="AA89" s="15"/>
    </row>
    <row r="90" spans="1:27" ht="16.5" customHeight="1">
      <c r="A90" s="22"/>
      <c r="B90" s="22"/>
      <c r="C90" s="52"/>
      <c r="D90" s="52"/>
      <c r="E90" s="52"/>
      <c r="F90" s="52"/>
      <c r="G90" s="52"/>
      <c r="H90" s="15"/>
      <c r="AA90" s="15"/>
    </row>
    <row r="91" spans="1:27" ht="16.5" customHeight="1">
      <c r="A91" s="22"/>
      <c r="B91" s="22"/>
      <c r="C91" s="52"/>
      <c r="D91" s="52"/>
      <c r="E91" s="52"/>
      <c r="F91" s="52"/>
      <c r="G91" s="52"/>
      <c r="H91" s="15"/>
      <c r="AA91" s="15"/>
    </row>
    <row r="92" spans="1:27" ht="16.5" customHeight="1">
      <c r="A92" s="22"/>
      <c r="B92" s="22"/>
      <c r="C92" s="52"/>
      <c r="D92" s="52"/>
      <c r="E92" s="52"/>
      <c r="F92" s="52"/>
      <c r="G92" s="52"/>
      <c r="H92" s="15"/>
      <c r="AA92" s="15"/>
    </row>
    <row r="93" spans="1:27" ht="16.5" customHeight="1">
      <c r="A93" s="22"/>
      <c r="B93" s="22"/>
      <c r="C93" s="52"/>
      <c r="D93" s="52"/>
      <c r="E93" s="52"/>
      <c r="F93" s="52"/>
      <c r="G93" s="52"/>
      <c r="H93" s="15"/>
      <c r="AA93" s="15"/>
    </row>
    <row r="94" spans="1:27" ht="16.5" customHeight="1">
      <c r="A94" s="22"/>
      <c r="B94" s="22"/>
      <c r="C94" s="52"/>
      <c r="D94" s="52"/>
      <c r="E94" s="52"/>
      <c r="F94" s="52"/>
      <c r="G94" s="52"/>
      <c r="H94" s="15"/>
      <c r="AA94" s="15"/>
    </row>
    <row r="95" spans="1:27" ht="16.5" customHeight="1">
      <c r="A95" s="22"/>
      <c r="B95" s="22"/>
      <c r="C95" s="52"/>
      <c r="D95" s="52"/>
      <c r="E95" s="52"/>
      <c r="F95" s="52"/>
      <c r="G95" s="52"/>
      <c r="H95" s="15"/>
      <c r="AA95" s="15"/>
    </row>
    <row r="96" spans="1:27" ht="16.5" customHeight="1">
      <c r="A96" s="22"/>
      <c r="B96" s="22"/>
      <c r="C96" s="52"/>
      <c r="D96" s="52"/>
      <c r="E96" s="52"/>
      <c r="F96" s="52"/>
      <c r="G96" s="52"/>
      <c r="H96" s="15"/>
      <c r="AA96" s="15"/>
    </row>
    <row r="97" spans="1:27" ht="16.5" customHeight="1">
      <c r="A97" s="22"/>
      <c r="B97" s="22"/>
      <c r="C97" s="52"/>
      <c r="D97" s="52"/>
      <c r="E97" s="52"/>
      <c r="F97" s="52"/>
      <c r="G97" s="52"/>
      <c r="H97" s="15"/>
      <c r="AA97" s="15"/>
    </row>
    <row r="98" spans="1:27" ht="16.5" customHeight="1">
      <c r="A98" s="22"/>
      <c r="B98" s="22"/>
      <c r="C98" s="52"/>
      <c r="D98" s="52"/>
      <c r="E98" s="52"/>
      <c r="F98" s="52"/>
      <c r="G98" s="52"/>
      <c r="H98" s="15"/>
      <c r="AA98" s="15"/>
    </row>
    <row r="99" spans="1:27" ht="16.5" customHeight="1">
      <c r="A99" s="22"/>
      <c r="B99" s="22"/>
      <c r="C99" s="52"/>
      <c r="D99" s="52"/>
      <c r="E99" s="52"/>
      <c r="F99" s="52"/>
      <c r="G99" s="52"/>
      <c r="H99" s="15"/>
      <c r="AA99" s="15"/>
    </row>
    <row r="100" spans="1:27" ht="16.5" customHeight="1">
      <c r="A100" s="22"/>
      <c r="B100" s="22"/>
      <c r="C100" s="52"/>
      <c r="D100" s="52"/>
      <c r="E100" s="52"/>
      <c r="F100" s="52"/>
      <c r="G100" s="52"/>
      <c r="H100" s="15"/>
      <c r="AA100" s="15"/>
    </row>
    <row r="101" spans="1:27" ht="16.5" customHeight="1">
      <c r="A101" s="22"/>
      <c r="B101" s="22"/>
      <c r="C101" s="52"/>
      <c r="D101" s="52"/>
      <c r="E101" s="52"/>
      <c r="F101" s="52"/>
      <c r="G101" s="52"/>
      <c r="H101" s="15"/>
      <c r="AA101" s="15"/>
    </row>
    <row r="102" spans="1:27" ht="16.5" customHeight="1">
      <c r="A102" s="22"/>
      <c r="B102" s="22"/>
      <c r="C102" s="52"/>
      <c r="D102" s="52"/>
      <c r="E102" s="52"/>
      <c r="F102" s="52"/>
      <c r="G102" s="52"/>
      <c r="H102" s="15"/>
      <c r="AA102" s="15"/>
    </row>
    <row r="103" spans="1:27" ht="16.5" customHeight="1">
      <c r="A103" s="22"/>
      <c r="B103" s="22"/>
      <c r="C103" s="52"/>
      <c r="D103" s="52"/>
      <c r="E103" s="52"/>
      <c r="F103" s="52"/>
      <c r="G103" s="52"/>
      <c r="H103" s="15"/>
      <c r="AA103" s="15"/>
    </row>
    <row r="104" spans="1:27" ht="16.5" customHeight="1">
      <c r="A104" s="22"/>
      <c r="B104" s="22"/>
      <c r="C104" s="52"/>
      <c r="D104" s="52"/>
      <c r="E104" s="52"/>
      <c r="F104" s="52"/>
      <c r="G104" s="52"/>
      <c r="H104" s="15"/>
      <c r="AA104" s="15"/>
    </row>
    <row r="105" spans="1:27" ht="16.5" customHeight="1">
      <c r="A105" s="22"/>
      <c r="B105" s="22"/>
      <c r="C105" s="52"/>
      <c r="D105" s="52"/>
      <c r="E105" s="52"/>
      <c r="F105" s="52"/>
      <c r="G105" s="52"/>
      <c r="H105" s="15"/>
      <c r="AA105" s="15"/>
    </row>
    <row r="106" spans="3:27" ht="12.75">
      <c r="C106" s="23"/>
      <c r="D106" s="23"/>
      <c r="E106" s="23"/>
      <c r="F106" s="23"/>
      <c r="G106" s="23"/>
      <c r="AA106" s="15"/>
    </row>
    <row r="107" ht="13.5" thickBot="1">
      <c r="AA107" s="15"/>
    </row>
    <row r="108" spans="1:27" ht="18.75" thickBot="1">
      <c r="A108" s="20"/>
      <c r="B108" s="127" t="s">
        <v>28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9"/>
      <c r="AA108" s="15"/>
    </row>
    <row r="109" spans="1:27" ht="38.25" customHeight="1" thickBot="1">
      <c r="A109" s="55"/>
      <c r="B109" s="82"/>
      <c r="C109" s="9" t="s">
        <v>22</v>
      </c>
      <c r="D109" s="9">
        <v>1</v>
      </c>
      <c r="E109" s="9">
        <v>2</v>
      </c>
      <c r="F109" s="9">
        <v>3</v>
      </c>
      <c r="G109" s="9">
        <v>4</v>
      </c>
      <c r="H109" s="9">
        <v>5</v>
      </c>
      <c r="I109" s="9">
        <v>6</v>
      </c>
      <c r="J109" s="9">
        <v>7</v>
      </c>
      <c r="K109" s="9">
        <v>8</v>
      </c>
      <c r="L109" s="9">
        <v>9</v>
      </c>
      <c r="M109" s="9">
        <v>10</v>
      </c>
      <c r="N109" s="9">
        <v>11</v>
      </c>
      <c r="O109" s="9">
        <v>12</v>
      </c>
      <c r="P109" s="9">
        <v>13</v>
      </c>
      <c r="Q109" s="9">
        <v>14</v>
      </c>
      <c r="R109" s="9">
        <v>15</v>
      </c>
      <c r="S109" s="9">
        <v>16</v>
      </c>
      <c r="T109" s="9">
        <v>17</v>
      </c>
      <c r="U109" s="9">
        <v>18</v>
      </c>
      <c r="V109" s="9">
        <v>19</v>
      </c>
      <c r="W109" s="9">
        <v>20</v>
      </c>
      <c r="X109" s="20"/>
      <c r="Y109" s="125" t="s">
        <v>29</v>
      </c>
      <c r="Z109" s="126"/>
      <c r="AA109" s="15"/>
    </row>
    <row r="110" spans="1:27" ht="12.75" customHeight="1">
      <c r="A110" s="36"/>
      <c r="B110" s="56" t="s">
        <v>17</v>
      </c>
      <c r="C110" s="57" t="s">
        <v>25</v>
      </c>
      <c r="D110" s="13">
        <f>D20*D25</f>
        <v>2207.452509858865</v>
      </c>
      <c r="E110" s="13">
        <f>D20*D25</f>
        <v>2207.452509858865</v>
      </c>
      <c r="F110" s="13">
        <f>D20*D25</f>
        <v>2207.452509858865</v>
      </c>
      <c r="G110" s="13">
        <f>D20*D25</f>
        <v>2207.452509858865</v>
      </c>
      <c r="H110" s="13">
        <f>D20*D25</f>
        <v>2207.452509858865</v>
      </c>
      <c r="I110" s="13">
        <f>D20*D25</f>
        <v>2207.452509858865</v>
      </c>
      <c r="J110" s="13">
        <f>D20*D25</f>
        <v>2207.452509858865</v>
      </c>
      <c r="K110" s="13">
        <f>D20*D25</f>
        <v>2207.452509858865</v>
      </c>
      <c r="L110" s="13">
        <f>D20*D25</f>
        <v>2207.452509858865</v>
      </c>
      <c r="M110" s="13">
        <f>D20*D25</f>
        <v>2207.452509858865</v>
      </c>
      <c r="N110" s="13">
        <f>D20*D25</f>
        <v>2207.452509858865</v>
      </c>
      <c r="O110" s="13">
        <f>D20*D25</f>
        <v>2207.452509858865</v>
      </c>
      <c r="P110" s="13">
        <f>D20*D25</f>
        <v>2207.452509858865</v>
      </c>
      <c r="Q110" s="13">
        <f aca="true" t="shared" si="1" ref="Q110:W110">$D$20*$D$25</f>
        <v>2207.452509858865</v>
      </c>
      <c r="R110" s="13">
        <f t="shared" si="1"/>
        <v>2207.452509858865</v>
      </c>
      <c r="S110" s="13">
        <f t="shared" si="1"/>
        <v>2207.452509858865</v>
      </c>
      <c r="T110" s="13">
        <f t="shared" si="1"/>
        <v>2207.452509858865</v>
      </c>
      <c r="U110" s="13">
        <f t="shared" si="1"/>
        <v>2207.452509858865</v>
      </c>
      <c r="V110" s="13">
        <f t="shared" si="1"/>
        <v>2207.452509858865</v>
      </c>
      <c r="W110" s="13">
        <f t="shared" si="1"/>
        <v>2207.452509858865</v>
      </c>
      <c r="X110" s="58"/>
      <c r="Y110" s="12">
        <f>SUM(D110:W110)</f>
        <v>44149.05019717729</v>
      </c>
      <c r="Z110" s="7" t="s">
        <v>6</v>
      </c>
      <c r="AA110" s="15"/>
    </row>
    <row r="111" spans="1:27" ht="12.75" customHeight="1" thickBot="1">
      <c r="A111" s="59"/>
      <c r="B111" s="60"/>
      <c r="C111" s="9" t="s">
        <v>9</v>
      </c>
      <c r="D111" s="61">
        <f aca="true" t="shared" si="2" ref="D111:W111">D110/$D$22</f>
        <v>0.7075168300829695</v>
      </c>
      <c r="E111" s="61">
        <f t="shared" si="2"/>
        <v>0.7075168300829695</v>
      </c>
      <c r="F111" s="61">
        <f t="shared" si="2"/>
        <v>0.7075168300829695</v>
      </c>
      <c r="G111" s="61">
        <f t="shared" si="2"/>
        <v>0.7075168300829695</v>
      </c>
      <c r="H111" s="61">
        <f t="shared" si="2"/>
        <v>0.7075168300829695</v>
      </c>
      <c r="I111" s="61">
        <f t="shared" si="2"/>
        <v>0.7075168300829695</v>
      </c>
      <c r="J111" s="61">
        <f t="shared" si="2"/>
        <v>0.7075168300829695</v>
      </c>
      <c r="K111" s="61">
        <f t="shared" si="2"/>
        <v>0.7075168300829695</v>
      </c>
      <c r="L111" s="61">
        <f t="shared" si="2"/>
        <v>0.7075168300829695</v>
      </c>
      <c r="M111" s="61">
        <f t="shared" si="2"/>
        <v>0.7075168300829695</v>
      </c>
      <c r="N111" s="61">
        <f t="shared" si="2"/>
        <v>0.7075168300829695</v>
      </c>
      <c r="O111" s="61">
        <f t="shared" si="2"/>
        <v>0.7075168300829695</v>
      </c>
      <c r="P111" s="61">
        <f t="shared" si="2"/>
        <v>0.7075168300829695</v>
      </c>
      <c r="Q111" s="61">
        <f t="shared" si="2"/>
        <v>0.7075168300829695</v>
      </c>
      <c r="R111" s="61">
        <f t="shared" si="2"/>
        <v>0.7075168300829695</v>
      </c>
      <c r="S111" s="61">
        <f t="shared" si="2"/>
        <v>0.7075168300829695</v>
      </c>
      <c r="T111" s="61">
        <f t="shared" si="2"/>
        <v>0.7075168300829695</v>
      </c>
      <c r="U111" s="61">
        <f t="shared" si="2"/>
        <v>0.7075168300829695</v>
      </c>
      <c r="V111" s="61">
        <f t="shared" si="2"/>
        <v>0.7075168300829695</v>
      </c>
      <c r="W111" s="61">
        <f t="shared" si="2"/>
        <v>0.7075168300829695</v>
      </c>
      <c r="X111" s="62"/>
      <c r="Y111" s="63"/>
      <c r="Z111" s="8"/>
      <c r="AA111" s="15"/>
    </row>
    <row r="112" spans="1:27" ht="12" customHeight="1">
      <c r="A112" s="36"/>
      <c r="B112" s="64" t="s">
        <v>18</v>
      </c>
      <c r="C112" s="65" t="s">
        <v>25</v>
      </c>
      <c r="D112" s="13">
        <f>D22*D113</f>
        <v>4368</v>
      </c>
      <c r="E112" s="66">
        <f>D22*E113</f>
        <v>4586.400000000001</v>
      </c>
      <c r="F112" s="66">
        <f>D22*F113</f>
        <v>4815.72</v>
      </c>
      <c r="G112" s="13">
        <f>D22*G113</f>
        <v>5056.506000000001</v>
      </c>
      <c r="H112" s="13">
        <f>D22*H113</f>
        <v>5309.331300000001</v>
      </c>
      <c r="I112" s="13">
        <f>D22*I113</f>
        <v>5574.7978650000005</v>
      </c>
      <c r="J112" s="13">
        <f>D22*J113</f>
        <v>5853.5377582500005</v>
      </c>
      <c r="K112" s="13">
        <f>D22*K113</f>
        <v>6146.214646162502</v>
      </c>
      <c r="L112" s="13">
        <f>D22*L113</f>
        <v>6453.5253784706265</v>
      </c>
      <c r="M112" s="13">
        <f>D22*M113</f>
        <v>6776.201647394158</v>
      </c>
      <c r="N112" s="13">
        <f>D22*N113</f>
        <v>7115.011729763865</v>
      </c>
      <c r="O112" s="13">
        <f>D22*O113</f>
        <v>7470.762316252059</v>
      </c>
      <c r="P112" s="13">
        <f>D22*P113</f>
        <v>7844.300432064661</v>
      </c>
      <c r="Q112" s="13">
        <f aca="true" t="shared" si="3" ref="Q112:W112">$D$22*Q113</f>
        <v>8236.515453667895</v>
      </c>
      <c r="R112" s="13">
        <f t="shared" si="3"/>
        <v>8648.34122635129</v>
      </c>
      <c r="S112" s="13">
        <f t="shared" si="3"/>
        <v>9080.758287668856</v>
      </c>
      <c r="T112" s="13">
        <f t="shared" si="3"/>
        <v>9534.796202052297</v>
      </c>
      <c r="U112" s="13">
        <f t="shared" si="3"/>
        <v>10011.536012154913</v>
      </c>
      <c r="V112" s="13">
        <f t="shared" si="3"/>
        <v>10512.11281276266</v>
      </c>
      <c r="W112" s="13">
        <f t="shared" si="3"/>
        <v>11037.718453400792</v>
      </c>
      <c r="X112" s="58"/>
      <c r="Y112" s="12">
        <f>SUM(D112:X112)</f>
        <v>144432.08752141657</v>
      </c>
      <c r="Z112" s="7" t="s">
        <v>6</v>
      </c>
      <c r="AA112" s="15"/>
    </row>
    <row r="113" spans="1:26" ht="15" customHeight="1" thickBot="1">
      <c r="A113" s="59"/>
      <c r="B113" s="4"/>
      <c r="C113" s="9" t="s">
        <v>9</v>
      </c>
      <c r="D113" s="67">
        <f>I16</f>
        <v>1.4</v>
      </c>
      <c r="E113" s="61">
        <f>I16*(1+D17/100+J25/100)^1</f>
        <v>1.47</v>
      </c>
      <c r="F113" s="61">
        <f>I16*(1+D17/100+J25/100)^2</f>
        <v>1.5434999999999999</v>
      </c>
      <c r="G113" s="61">
        <f>I16*(1+D17/100+J25/100)^3</f>
        <v>1.620675</v>
      </c>
      <c r="H113" s="61">
        <f>I16*(1+D17/100+J25/100)^4</f>
        <v>1.7017087499999999</v>
      </c>
      <c r="I113" s="61">
        <f>I16*(1+D17/100+J25/100)^5</f>
        <v>1.7867941875</v>
      </c>
      <c r="J113" s="61">
        <f>I16*(1+D17/100+J25/100)^6</f>
        <v>1.8761338968749999</v>
      </c>
      <c r="K113" s="61">
        <f>I16*(1+D17/100+J25/100)^7</f>
        <v>1.9699405917187502</v>
      </c>
      <c r="L113" s="61">
        <f>I16*(1+D17/100+J25/100)^8</f>
        <v>2.0684376213046876</v>
      </c>
      <c r="M113" s="61">
        <f>I16*(1+D17/100+J25/100)^9</f>
        <v>2.171859502369922</v>
      </c>
      <c r="N113" s="61">
        <f>I16*(1+D17/100+J25/100)^10</f>
        <v>2.280452477488418</v>
      </c>
      <c r="O113" s="61">
        <f>I16*(1+D17/100+J25/100)^11</f>
        <v>2.394475101362839</v>
      </c>
      <c r="P113" s="61">
        <f>I16*(1+D17/100+J25/100)^12</f>
        <v>2.5141988564309807</v>
      </c>
      <c r="Q113" s="61">
        <f>$I$16*(1+$D$17/100+$J$25/100)^13</f>
        <v>2.63990879925253</v>
      </c>
      <c r="R113" s="61">
        <f>$I$16*(1+$D$17/100+$J$25/100)^14</f>
        <v>2.7719042392151563</v>
      </c>
      <c r="S113" s="61">
        <f>$I$16*(1+$D$17/100+$J$25/100)^15</f>
        <v>2.910499451175915</v>
      </c>
      <c r="T113" s="61">
        <f>$I$16*(1+$D$17/100+$J$25/100)^16</f>
        <v>3.0560244237347103</v>
      </c>
      <c r="U113" s="61">
        <f>$I$16*(1+$D$17/100+$J$25/100)^17</f>
        <v>3.208825644921446</v>
      </c>
      <c r="V113" s="61">
        <f>$I$16*(1+$D$17/100+$J$25/100)^18</f>
        <v>3.3692669271675184</v>
      </c>
      <c r="W113" s="61">
        <f>$I$16*(1+$D$17/100+$J$25/100)^19</f>
        <v>3.537730273525894</v>
      </c>
      <c r="X113" s="62"/>
      <c r="Y113" s="63"/>
      <c r="Z113" s="8"/>
    </row>
    <row r="114" spans="1:26" ht="13.5" customHeight="1">
      <c r="A114" s="36"/>
      <c r="B114" s="64" t="s">
        <v>19</v>
      </c>
      <c r="C114" s="68" t="s">
        <v>25</v>
      </c>
      <c r="D114" s="13">
        <f>D115*D22</f>
        <v>3120.0000000000005</v>
      </c>
      <c r="E114" s="13">
        <f>E115*D22</f>
        <v>3276.0000000000005</v>
      </c>
      <c r="F114" s="13">
        <f>F115*D22</f>
        <v>3439.8000000000006</v>
      </c>
      <c r="G114" s="13">
        <f>G115*D22</f>
        <v>3611.790000000001</v>
      </c>
      <c r="H114" s="13">
        <f>H115*D22</f>
        <v>3792.3795000000005</v>
      </c>
      <c r="I114" s="13">
        <f>I115*D22</f>
        <v>3981.998475000001</v>
      </c>
      <c r="J114" s="13">
        <f>J115*D22</f>
        <v>4181.09839875</v>
      </c>
      <c r="K114" s="13">
        <f>K115*D22</f>
        <v>4390.153318687501</v>
      </c>
      <c r="L114" s="13">
        <f>L115*D22</f>
        <v>4609.660984621876</v>
      </c>
      <c r="M114" s="13">
        <f>M115*D22</f>
        <v>4840.14403385297</v>
      </c>
      <c r="N114" s="13">
        <f>N115*D22</f>
        <v>5082.151235545619</v>
      </c>
      <c r="O114" s="13">
        <f>O115*D22</f>
        <v>5336.2587973229</v>
      </c>
      <c r="P114" s="13">
        <f>P115*D22</f>
        <v>5603.071737189044</v>
      </c>
      <c r="Q114" s="13">
        <f aca="true" t="shared" si="4" ref="Q114:W114">Q115*$D$22</f>
        <v>5883.225324048497</v>
      </c>
      <c r="R114" s="13">
        <f t="shared" si="4"/>
        <v>6177.386590250921</v>
      </c>
      <c r="S114" s="13">
        <f t="shared" si="4"/>
        <v>6486.255919763469</v>
      </c>
      <c r="T114" s="13">
        <f t="shared" si="4"/>
        <v>6810.568715751641</v>
      </c>
      <c r="U114" s="13">
        <f t="shared" si="4"/>
        <v>7151.097151539225</v>
      </c>
      <c r="V114" s="13">
        <f t="shared" si="4"/>
        <v>7508.652009116186</v>
      </c>
      <c r="W114" s="13">
        <f t="shared" si="4"/>
        <v>7884.084609571995</v>
      </c>
      <c r="X114" s="58"/>
      <c r="Y114" s="12">
        <f>SUM(D114:X114)</f>
        <v>103165.77680101183</v>
      </c>
      <c r="Z114" s="7" t="s">
        <v>6</v>
      </c>
    </row>
    <row r="115" spans="1:26" ht="13.5" customHeight="1" thickBot="1">
      <c r="A115" s="59"/>
      <c r="B115" s="4"/>
      <c r="C115" s="9" t="s">
        <v>9</v>
      </c>
      <c r="D115" s="61">
        <f>I17</f>
        <v>1</v>
      </c>
      <c r="E115" s="61">
        <f>I17*(1+D17/100+J25/100)^1</f>
        <v>1.05</v>
      </c>
      <c r="F115" s="61">
        <f>I17*(1+D17/100+J25/100)^2</f>
        <v>1.1025</v>
      </c>
      <c r="G115" s="61">
        <f>I17*(1+D17/100+J25/100)^3</f>
        <v>1.1576250000000001</v>
      </c>
      <c r="H115" s="61">
        <f>I17*(1+D17/100+J25/100)^4</f>
        <v>1.21550625</v>
      </c>
      <c r="I115" s="61">
        <f>I17*(1+D17/100+J25/100)^5</f>
        <v>1.2762815625000001</v>
      </c>
      <c r="J115" s="61">
        <f>I17*(1+D17/100+J25/100)^6</f>
        <v>1.340095640625</v>
      </c>
      <c r="K115" s="61">
        <f>I17*(1+D17/100+J25/100)^7</f>
        <v>1.4071004226562502</v>
      </c>
      <c r="L115" s="61">
        <f>I17*(1+D17/100+J25/100)^8</f>
        <v>1.4774554437890626</v>
      </c>
      <c r="M115" s="61">
        <f>I17*(1+D17/100+J25/100)^9</f>
        <v>1.5513282159785158</v>
      </c>
      <c r="N115" s="61">
        <f>I17*(1+D17/100+J25/100)^10</f>
        <v>1.6288946267774416</v>
      </c>
      <c r="O115" s="61">
        <f>I17*(1+D17/100+J25/100)^11</f>
        <v>1.7103393581163138</v>
      </c>
      <c r="P115" s="61">
        <f>I17*(1+D17/100+J25/100)^12</f>
        <v>1.7958563260221292</v>
      </c>
      <c r="Q115" s="61">
        <f>$I$17*(1+$D$17/100+$J$25/100)^13</f>
        <v>1.885649142323236</v>
      </c>
      <c r="R115" s="61">
        <f>$I$17*(1+$D$17/100+$J$25/100)^14</f>
        <v>1.9799315994393973</v>
      </c>
      <c r="S115" s="61">
        <f>$I$17*(1+$D$17/100+$J$25/100)^15</f>
        <v>2.078928179411368</v>
      </c>
      <c r="T115" s="61">
        <f>$I$17*(1+$D$17/100+$J$25/100)^16</f>
        <v>2.182874588381936</v>
      </c>
      <c r="U115" s="61">
        <f>$I$17*(1+$D$17/100+$J$25/100)^17</f>
        <v>2.292018317801033</v>
      </c>
      <c r="V115" s="61">
        <f>$I$17*(1+$D$17/100+$J$25/100)^18</f>
        <v>2.4066192336910848</v>
      </c>
      <c r="W115" s="61">
        <f>$I$17*(1+$D$17/100+$J$25/100)^19</f>
        <v>2.526950195375639</v>
      </c>
      <c r="X115" s="62"/>
      <c r="Y115" s="63"/>
      <c r="Z115" s="8"/>
    </row>
    <row r="116" spans="1:26" ht="13.5" customHeight="1">
      <c r="A116" s="36"/>
      <c r="B116" s="69" t="s">
        <v>0</v>
      </c>
      <c r="C116" s="68" t="s">
        <v>25</v>
      </c>
      <c r="D116" s="13">
        <f>D117*D22</f>
        <v>1092</v>
      </c>
      <c r="E116" s="13">
        <f>E117*D22</f>
        <v>1146.6000000000001</v>
      </c>
      <c r="F116" s="13">
        <f>F117*D22</f>
        <v>1203.93</v>
      </c>
      <c r="G116" s="13">
        <f>G117*D22</f>
        <v>1264.1265000000003</v>
      </c>
      <c r="H116" s="13">
        <f>H117*D22</f>
        <v>1327.3328250000002</v>
      </c>
      <c r="I116" s="13">
        <f>I117*D22</f>
        <v>1393.6994662500001</v>
      </c>
      <c r="J116" s="13">
        <f>J117*D22</f>
        <v>1463.3844395625001</v>
      </c>
      <c r="K116" s="13">
        <f>K117*D22</f>
        <v>1536.5536615406254</v>
      </c>
      <c r="L116" s="13">
        <f>L117*D22</f>
        <v>1613.3813446176566</v>
      </c>
      <c r="M116" s="13">
        <f>M117*D22</f>
        <v>1694.0504118485394</v>
      </c>
      <c r="N116" s="13">
        <f>N117*D22</f>
        <v>1778.7529324409663</v>
      </c>
      <c r="O116" s="13">
        <f>O117*D22</f>
        <v>1867.6905790630146</v>
      </c>
      <c r="P116" s="13">
        <f>P117*D22</f>
        <v>1961.0751080161654</v>
      </c>
      <c r="Q116" s="13">
        <f aca="true" t="shared" si="5" ref="Q116:W116">Q117*$D$22</f>
        <v>2059.1288634169737</v>
      </c>
      <c r="R116" s="13">
        <f t="shared" si="5"/>
        <v>2162.0853065878223</v>
      </c>
      <c r="S116" s="13">
        <f t="shared" si="5"/>
        <v>2270.189571917214</v>
      </c>
      <c r="T116" s="13">
        <f t="shared" si="5"/>
        <v>2383.6990505130743</v>
      </c>
      <c r="U116" s="13">
        <f t="shared" si="5"/>
        <v>2502.884003038728</v>
      </c>
      <c r="V116" s="13">
        <f t="shared" si="5"/>
        <v>2628.028203190665</v>
      </c>
      <c r="W116" s="13">
        <f t="shared" si="5"/>
        <v>2759.429613350198</v>
      </c>
      <c r="X116" s="70"/>
      <c r="Y116" s="12">
        <f>SUM(D116:X116)</f>
        <v>36108.02188035414</v>
      </c>
      <c r="Z116" s="7" t="s">
        <v>6</v>
      </c>
    </row>
    <row r="117" spans="1:26" ht="13.5" thickBot="1">
      <c r="A117" s="59"/>
      <c r="B117" s="4"/>
      <c r="C117" s="9" t="s">
        <v>9</v>
      </c>
      <c r="D117" s="61">
        <f>I18</f>
        <v>0.35</v>
      </c>
      <c r="E117" s="61">
        <f>I18*(1+D17/100+J25/100)^1</f>
        <v>0.3675</v>
      </c>
      <c r="F117" s="61">
        <f>I18*(1+D17/100+J25/100)^2</f>
        <v>0.38587499999999997</v>
      </c>
      <c r="G117" s="61">
        <f>I18*(1+D17/100+J25/100)^3</f>
        <v>0.40516875</v>
      </c>
      <c r="H117" s="61">
        <f>I18*(1+D17/100+J25/100)^4</f>
        <v>0.42542718749999997</v>
      </c>
      <c r="I117" s="61">
        <f>I18*(1+D17/100+J25/100)^5</f>
        <v>0.446698546875</v>
      </c>
      <c r="J117" s="61">
        <f>I18*(1+D17/100+J25/100)^6</f>
        <v>0.46903347421874997</v>
      </c>
      <c r="K117" s="61">
        <f>I18*(1+D17/100+J25/100)^7</f>
        <v>0.49248514792968756</v>
      </c>
      <c r="L117" s="61">
        <f>I18*(1+D17/100+J25/100)^8</f>
        <v>0.5171094053261719</v>
      </c>
      <c r="M117" s="61">
        <f>I18*(1+D17/100+J25/100)^9</f>
        <v>0.5429648755924805</v>
      </c>
      <c r="N117" s="61">
        <f>I18*(1+D17/100+J25/100)^10</f>
        <v>0.5701131193721045</v>
      </c>
      <c r="O117" s="61">
        <f>I18*(1+D17/100+J25/100)^11</f>
        <v>0.5986187753407097</v>
      </c>
      <c r="P117" s="61">
        <f>I18*(1+D17/100+J25/100)^12</f>
        <v>0.6285497141077452</v>
      </c>
      <c r="Q117" s="61">
        <f>$I$18*(1+$D$17/100+$J$25/100)^13</f>
        <v>0.6599771998131325</v>
      </c>
      <c r="R117" s="61">
        <f>$I$18*(1+$D$17/100+$J$25/100)^14</f>
        <v>0.6929760598037891</v>
      </c>
      <c r="S117" s="61">
        <f>$I$18*(1+$D$17/100+$J$25/100)^15</f>
        <v>0.7276248627939788</v>
      </c>
      <c r="T117" s="61">
        <f>$I$18*(1+$D$17/100+$J$25/100)^16</f>
        <v>0.7640061059336776</v>
      </c>
      <c r="U117" s="61">
        <f>$I$18*(1+$D$17/100+$J$25/100)^17</f>
        <v>0.8022064112303615</v>
      </c>
      <c r="V117" s="61">
        <f>$I$18*(1+$D$17/100+$J$25/100)^18</f>
        <v>0.8423167317918796</v>
      </c>
      <c r="W117" s="61">
        <f>$I$18*(1+$D$17/100+$J$25/100)^19</f>
        <v>0.8844325683814735</v>
      </c>
      <c r="X117" s="62"/>
      <c r="Y117" s="63"/>
      <c r="Z117" s="8"/>
    </row>
    <row r="118" spans="1:26" ht="12.75">
      <c r="A118" s="36"/>
      <c r="B118" s="69" t="s">
        <v>10</v>
      </c>
      <c r="C118" s="71" t="s">
        <v>25</v>
      </c>
      <c r="D118" s="13">
        <f>D119*D22</f>
        <v>1872.0000000000002</v>
      </c>
      <c r="E118" s="13">
        <f>E119*D22</f>
        <v>2129.4000000000005</v>
      </c>
      <c r="F118" s="13">
        <f>F119*D22</f>
        <v>2235.8700000000003</v>
      </c>
      <c r="G118" s="13">
        <f>G119*D22</f>
        <v>2347.663500000001</v>
      </c>
      <c r="H118" s="13">
        <f>H119*D22</f>
        <v>2465.0466750000005</v>
      </c>
      <c r="I118" s="13">
        <f>I119*D22</f>
        <v>2588.2990087500007</v>
      </c>
      <c r="J118" s="13">
        <f>J119*D22</f>
        <v>2717.7139591875</v>
      </c>
      <c r="K118" s="13">
        <f>K119*D22</f>
        <v>2853.599657146876</v>
      </c>
      <c r="L118" s="13">
        <f>L119*D22</f>
        <v>2996.2796400042193</v>
      </c>
      <c r="M118" s="13">
        <f>M119*D22</f>
        <v>3146.0936220044305</v>
      </c>
      <c r="N118" s="13">
        <f>N119*D22</f>
        <v>3303.398303104652</v>
      </c>
      <c r="O118" s="13">
        <f>O119*D22</f>
        <v>3468.5682182598853</v>
      </c>
      <c r="P118" s="13">
        <f>P119*D22</f>
        <v>3641.996629172879</v>
      </c>
      <c r="Q118" s="13">
        <f aca="true" t="shared" si="6" ref="Q118:V118">Q119*$D$22</f>
        <v>3824.0964606315233</v>
      </c>
      <c r="R118" s="13">
        <f t="shared" si="6"/>
        <v>4015.3012836630983</v>
      </c>
      <c r="S118" s="13">
        <f t="shared" si="6"/>
        <v>4216.066347846255</v>
      </c>
      <c r="T118" s="13">
        <f t="shared" si="6"/>
        <v>4426.869665238567</v>
      </c>
      <c r="U118" s="13">
        <f t="shared" si="6"/>
        <v>4648.213148500497</v>
      </c>
      <c r="V118" s="13">
        <f t="shared" si="6"/>
        <v>4880.623805925521</v>
      </c>
      <c r="W118" s="13">
        <f>W119*D22</f>
        <v>5124.654996221797</v>
      </c>
      <c r="X118" s="58"/>
      <c r="Y118" s="12">
        <f>SUM(D118:X118)</f>
        <v>66901.7549206577</v>
      </c>
      <c r="Z118" s="7" t="s">
        <v>6</v>
      </c>
    </row>
    <row r="119" spans="1:26" ht="13.5" thickBot="1">
      <c r="A119" s="59"/>
      <c r="B119" s="4"/>
      <c r="C119" s="72" t="s">
        <v>9</v>
      </c>
      <c r="D119" s="61">
        <v>0.6</v>
      </c>
      <c r="E119" s="61">
        <f>I19*(1+D17/100+J25/100)^1</f>
        <v>0.6825000000000001</v>
      </c>
      <c r="F119" s="61">
        <f>I19*(1+D17/100+J25/100)^2</f>
        <v>0.7166250000000001</v>
      </c>
      <c r="G119" s="61">
        <f>I19*(1+D17/100+J25/100)^3</f>
        <v>0.7524562500000002</v>
      </c>
      <c r="H119" s="61">
        <f>I19*(1+D17/100+J25/100)^4</f>
        <v>0.7900790625</v>
      </c>
      <c r="I119" s="61">
        <f>I19*(1+D17/100+J25/100)^5</f>
        <v>0.8295830156250001</v>
      </c>
      <c r="J119" s="61">
        <f>I19*(1+D17/100+J25/100)^6</f>
        <v>0.87106216640625</v>
      </c>
      <c r="K119" s="61">
        <f>I19*(1+D17/100+J25/100)^7</f>
        <v>0.9146152747265627</v>
      </c>
      <c r="L119" s="61">
        <f>I19*(1+D17/100+J25/100)^8</f>
        <v>0.9603460384628907</v>
      </c>
      <c r="M119" s="61">
        <f>I19*(1+D17/100+J25/100)^9</f>
        <v>1.0083633403860353</v>
      </c>
      <c r="N119" s="61">
        <f>I19*(1+D17/100+J25/100)^10</f>
        <v>1.058781507405337</v>
      </c>
      <c r="O119" s="61">
        <f>I19*(1+D17/100+J25/100)^11</f>
        <v>1.111720582775604</v>
      </c>
      <c r="P119" s="61">
        <f>I19*(1+D17/100+J25/100)^12</f>
        <v>1.167306611914384</v>
      </c>
      <c r="Q119" s="61">
        <f>$I$19*(1+$D$17/100+$J$25/100)^13</f>
        <v>1.2256719425101035</v>
      </c>
      <c r="R119" s="61">
        <f>$I$19*(1+$D$17/100+$J$25/100)^14</f>
        <v>1.2869555396356083</v>
      </c>
      <c r="S119" s="61">
        <f>$I$19*(1+$D$17/100+$J$25/100)^15</f>
        <v>1.3513033166173891</v>
      </c>
      <c r="T119" s="61">
        <f>$I$19*(1+$D$17/100+$J$25/100)^16</f>
        <v>1.4188684824482585</v>
      </c>
      <c r="U119" s="61">
        <f>$I$19*(1+$D$17/100+$J$25/100)^17</f>
        <v>1.4898119065706716</v>
      </c>
      <c r="V119" s="61">
        <f>$I$19*(1+$D$17/100+$J$25/100)^18</f>
        <v>1.5643025018992052</v>
      </c>
      <c r="W119" s="61">
        <f>I19*(1+D17/100+J25/100)^19</f>
        <v>1.6425176269941655</v>
      </c>
      <c r="X119" s="73"/>
      <c r="Y119" s="63"/>
      <c r="Z119" s="8"/>
    </row>
    <row r="120" spans="1:26" ht="12.75">
      <c r="A120" s="36"/>
      <c r="B120" s="69" t="s">
        <v>20</v>
      </c>
      <c r="C120" s="71" t="s">
        <v>25</v>
      </c>
      <c r="D120" s="13">
        <f>D121*D22</f>
        <v>2496.0000000000005</v>
      </c>
      <c r="E120" s="13">
        <f>E121*D22</f>
        <v>2620.8000000000006</v>
      </c>
      <c r="F120" s="13">
        <f>F121*D22</f>
        <v>2751.8400000000006</v>
      </c>
      <c r="G120" s="13">
        <f>G121*D22</f>
        <v>2889.4320000000007</v>
      </c>
      <c r="H120" s="13">
        <f>H121*D22</f>
        <v>3033.9036000000006</v>
      </c>
      <c r="I120" s="13">
        <f>I121*D22</f>
        <v>3185.5987800000007</v>
      </c>
      <c r="J120" s="13">
        <f>J121*D22</f>
        <v>3344.8787190000007</v>
      </c>
      <c r="K120" s="13">
        <f>L121*D22</f>
        <v>3687.728787697501</v>
      </c>
      <c r="L120" s="13">
        <f>L121*D22</f>
        <v>3687.728787697501</v>
      </c>
      <c r="M120" s="13">
        <f>M121*D22</f>
        <v>3872.115227082376</v>
      </c>
      <c r="N120" s="13">
        <f>N121*D22</f>
        <v>4065.720988436495</v>
      </c>
      <c r="O120" s="13">
        <f>O121*D22</f>
        <v>4269.0070378583205</v>
      </c>
      <c r="P120" s="13">
        <f>P121*D22</f>
        <v>4482.4573897512355</v>
      </c>
      <c r="Q120" s="13">
        <f aca="true" t="shared" si="7" ref="Q120:W120">Q121*$D$22</f>
        <v>4706.580259238798</v>
      </c>
      <c r="R120" s="13">
        <f t="shared" si="7"/>
        <v>4941.909272200736</v>
      </c>
      <c r="S120" s="13">
        <f t="shared" si="7"/>
        <v>5189.004735810775</v>
      </c>
      <c r="T120" s="13">
        <f t="shared" si="7"/>
        <v>5448.454972601314</v>
      </c>
      <c r="U120" s="13">
        <f t="shared" si="7"/>
        <v>5720.87772123138</v>
      </c>
      <c r="V120" s="13">
        <f t="shared" si="7"/>
        <v>6006.9216072929485</v>
      </c>
      <c r="W120" s="13">
        <f t="shared" si="7"/>
        <v>6307.267687657596</v>
      </c>
      <c r="X120" s="58"/>
      <c r="Y120" s="12">
        <f>SUM(D120:X120)</f>
        <v>82708.22757355699</v>
      </c>
      <c r="Z120" s="7" t="s">
        <v>6</v>
      </c>
    </row>
    <row r="121" spans="1:26" ht="13.5" thickBot="1">
      <c r="A121" s="59"/>
      <c r="B121" s="4"/>
      <c r="C121" s="72" t="s">
        <v>9</v>
      </c>
      <c r="D121" s="61">
        <f>I20</f>
        <v>0.8</v>
      </c>
      <c r="E121" s="61">
        <f>I20*(1+D17/100+J25/100)^1</f>
        <v>0.8400000000000001</v>
      </c>
      <c r="F121" s="61">
        <f>I20*(1+D17/100+J25/100)^2</f>
        <v>0.8820000000000001</v>
      </c>
      <c r="G121" s="61">
        <f>I20*(1+D17/100+J25/100)^3</f>
        <v>0.9261000000000001</v>
      </c>
      <c r="H121" s="61">
        <f>I20*(1+D17/100+J25/100)^4</f>
        <v>0.9724050000000001</v>
      </c>
      <c r="I121" s="61">
        <f>I20*(1+D17/100+J25/100)^5</f>
        <v>1.02102525</v>
      </c>
      <c r="J121" s="61">
        <f>I20*(1+D17/100+J25/100)^6</f>
        <v>1.0720765125</v>
      </c>
      <c r="K121" s="61">
        <f>I20*(1+D17/100+J25/100)^7</f>
        <v>1.1256803381250002</v>
      </c>
      <c r="L121" s="61">
        <f>I20*(1+D17/100+J25/100)^8</f>
        <v>1.1819643550312502</v>
      </c>
      <c r="M121" s="61">
        <f>I20*(1+D17/100+J25/100)^9</f>
        <v>1.2410625727828126</v>
      </c>
      <c r="N121" s="61">
        <f>I20*(1+D17/100+J25/100)^10</f>
        <v>1.3031157014219534</v>
      </c>
      <c r="O121" s="61">
        <f>I20*(1+D17/100+J25/100)^11</f>
        <v>1.3682714864930512</v>
      </c>
      <c r="P121" s="61">
        <f>I20*(1+D17/100+J25/100)^12</f>
        <v>1.4366850608177035</v>
      </c>
      <c r="Q121" s="61">
        <f>$I$20*(1+$D$17/100+$J$25/100)^13</f>
        <v>1.5085193138585888</v>
      </c>
      <c r="R121" s="61">
        <f>$I$20*(1+$D$17/100+$J$25/100)^14</f>
        <v>1.5839452795515179</v>
      </c>
      <c r="S121" s="61">
        <f>$I$20*(1+$D$17/100+$J$25/100)^15</f>
        <v>1.6631425435290943</v>
      </c>
      <c r="T121" s="61">
        <f>$I$20*(1+$D$17/100+$J$25/100)^16</f>
        <v>1.746299670705549</v>
      </c>
      <c r="U121" s="61">
        <f>$I$20*(1+$D$17/100+$J$25/100)^17</f>
        <v>1.8336146542408267</v>
      </c>
      <c r="V121" s="61">
        <f>$I$20*(1+$D$17/100+$J$25/100)^18</f>
        <v>1.925295386952868</v>
      </c>
      <c r="W121" s="61">
        <f>$I$20*(1+$D$17/100+$J$25/100)^19</f>
        <v>2.0215601563005112</v>
      </c>
      <c r="X121" s="73"/>
      <c r="Y121" s="74"/>
      <c r="Z121" s="6"/>
    </row>
    <row r="122" spans="9:13" ht="12.75">
      <c r="I122" s="15"/>
      <c r="M122" s="75"/>
    </row>
    <row r="123" spans="9:13" ht="12.75">
      <c r="I123" s="15"/>
      <c r="M123" s="75"/>
    </row>
    <row r="124" spans="1:13" ht="12.75">
      <c r="A124" s="23"/>
      <c r="B124" s="23"/>
      <c r="C124" s="23"/>
      <c r="D124" s="23"/>
      <c r="H124" s="23"/>
      <c r="M124" s="75"/>
    </row>
    <row r="126" ht="14.25" customHeight="1"/>
    <row r="127" spans="10:23" ht="12.75" customHeight="1"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0:24" ht="15.75" customHeight="1"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15"/>
    </row>
    <row r="129" spans="10:24" ht="16.5" customHeight="1"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5"/>
    </row>
    <row r="130" spans="10:24" ht="16.5" customHeight="1">
      <c r="J130" s="77"/>
      <c r="K130" s="77"/>
      <c r="L130" s="77"/>
      <c r="M130" s="77"/>
      <c r="N130" s="77"/>
      <c r="O130" s="24"/>
      <c r="P130" s="24"/>
      <c r="Q130" s="24"/>
      <c r="R130" s="24"/>
      <c r="S130" s="24"/>
      <c r="T130" s="24"/>
      <c r="U130" s="24"/>
      <c r="V130" s="24"/>
      <c r="W130" s="24"/>
      <c r="X130" s="15"/>
    </row>
    <row r="131" spans="10:24" ht="15.75" customHeight="1">
      <c r="J131" s="78"/>
      <c r="K131" s="78"/>
      <c r="L131" s="78"/>
      <c r="M131" s="78"/>
      <c r="N131" s="78"/>
      <c r="O131" s="24"/>
      <c r="P131" s="24"/>
      <c r="Q131" s="24"/>
      <c r="R131" s="24"/>
      <c r="S131" s="24"/>
      <c r="T131" s="24"/>
      <c r="U131" s="24"/>
      <c r="V131" s="24"/>
      <c r="W131" s="24"/>
      <c r="X131" s="15"/>
    </row>
    <row r="132" spans="10:24" ht="15" customHeight="1">
      <c r="J132" s="79"/>
      <c r="K132" s="79"/>
      <c r="L132" s="79"/>
      <c r="M132" s="79"/>
      <c r="N132" s="79"/>
      <c r="O132" s="24"/>
      <c r="P132" s="24"/>
      <c r="Q132" s="24"/>
      <c r="R132" s="24"/>
      <c r="S132" s="24"/>
      <c r="T132" s="24"/>
      <c r="U132" s="24"/>
      <c r="V132" s="24"/>
      <c r="W132" s="24"/>
      <c r="X132" s="15"/>
    </row>
    <row r="133" spans="2:23" ht="16.5" customHeight="1">
      <c r="B133" s="77"/>
      <c r="C133" s="79"/>
      <c r="J133" s="80"/>
      <c r="K133" s="80"/>
      <c r="L133" s="80"/>
      <c r="M133" s="80"/>
      <c r="N133" s="80"/>
      <c r="O133" s="14"/>
      <c r="P133" s="23"/>
      <c r="Q133" s="23"/>
      <c r="R133" s="23"/>
      <c r="S133" s="23"/>
      <c r="T133" s="23"/>
      <c r="U133" s="23"/>
      <c r="V133" s="23"/>
      <c r="W133" s="23"/>
    </row>
    <row r="134" spans="2:15" ht="13.5" customHeight="1">
      <c r="B134" s="77"/>
      <c r="C134" s="79"/>
      <c r="J134" s="79"/>
      <c r="K134" s="79"/>
      <c r="L134" s="79"/>
      <c r="M134" s="79"/>
      <c r="N134" s="79"/>
      <c r="O134" s="15"/>
    </row>
    <row r="135" spans="2:15" ht="12.75" customHeight="1">
      <c r="B135" s="77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15"/>
    </row>
    <row r="136" spans="2:15" ht="13.5" customHeight="1">
      <c r="B136" s="77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15"/>
    </row>
    <row r="137" spans="2:15" ht="13.5" customHeight="1">
      <c r="B137" s="77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15"/>
    </row>
    <row r="138" spans="2:15" ht="12.75" customHeight="1">
      <c r="B138" s="77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15"/>
    </row>
    <row r="139" spans="2:15" ht="15" customHeight="1">
      <c r="B139" s="77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15"/>
    </row>
    <row r="140" spans="2:15" ht="17.25" customHeight="1">
      <c r="B140" s="77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15"/>
    </row>
    <row r="141" spans="2:15" ht="16.5" customHeight="1">
      <c r="B141" s="77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15"/>
    </row>
    <row r="142" spans="2:15" ht="15" customHeight="1">
      <c r="B142" s="77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15"/>
    </row>
    <row r="143" spans="2:15" ht="15" customHeight="1">
      <c r="B143" s="77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15"/>
    </row>
    <row r="144" spans="2:15" ht="15" customHeight="1">
      <c r="B144" s="77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15"/>
    </row>
    <row r="145" spans="2:15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5"/>
    </row>
    <row r="146" spans="2:15" ht="15.75" customHeight="1">
      <c r="B146" s="77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15"/>
    </row>
    <row r="147" spans="2:15" ht="15" customHeight="1">
      <c r="B147" s="77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15"/>
    </row>
    <row r="148" spans="1:14" ht="16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</sheetData>
  <sheetProtection/>
  <mergeCells count="12">
    <mergeCell ref="G20:H20"/>
    <mergeCell ref="G16:H16"/>
    <mergeCell ref="G15:J15"/>
    <mergeCell ref="E37:G37"/>
    <mergeCell ref="C14:J14"/>
    <mergeCell ref="Y109:Z109"/>
    <mergeCell ref="B108:Z108"/>
    <mergeCell ref="G25:I25"/>
    <mergeCell ref="G17:H17"/>
    <mergeCell ref="G18:H18"/>
    <mergeCell ref="G19:H19"/>
    <mergeCell ref="E30:G30"/>
  </mergeCells>
  <printOptions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&amp;CSida &amp;P</oddFooter>
  </headerFooter>
  <ignoredErrors>
    <ignoredError sqref="Q115:W115 Q117:V117 Q119:V11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4">
      <selection activeCell="E33" sqref="E33"/>
    </sheetView>
  </sheetViews>
  <sheetFormatPr defaultColWidth="11.421875" defaultRowHeight="12.75"/>
  <cols>
    <col min="1" max="1" width="3.8515625" style="5" customWidth="1"/>
    <col min="2" max="2" width="6.57421875" style="5" customWidth="1"/>
    <col min="3" max="11" width="11.421875" style="5" customWidth="1"/>
    <col min="12" max="12" width="15.00390625" style="5" customWidth="1"/>
    <col min="13" max="13" width="13.140625" style="5" customWidth="1"/>
    <col min="14" max="16384" width="11.42187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6384" width="11.421875" style="5" customWidth="1"/>
  </cols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N41:N41"/>
  <sheetViews>
    <sheetView zoomScalePageLayoutView="0" workbookViewId="0" topLeftCell="A1">
      <selection activeCell="K35" sqref="K35"/>
    </sheetView>
  </sheetViews>
  <sheetFormatPr defaultColWidth="11.421875" defaultRowHeight="12.75"/>
  <cols>
    <col min="1" max="16384" width="11.421875" style="5" customWidth="1"/>
  </cols>
  <sheetData>
    <row r="41" ht="12.75">
      <c r="N41" s="5" t="s">
        <v>26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1"/>
  <sheetViews>
    <sheetView zoomScalePageLayoutView="0" workbookViewId="0" topLeftCell="A28">
      <selection activeCell="A1" sqref="A1:IV1"/>
    </sheetView>
  </sheetViews>
  <sheetFormatPr defaultColWidth="11.421875" defaultRowHeight="12.75"/>
  <cols>
    <col min="1" max="16384" width="11.421875" style="5" customWidth="1"/>
  </cols>
  <sheetData>
    <row r="34" ht="45.75" customHeight="1"/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6384" width="11.421875" style="5" customWidth="1"/>
  </cols>
  <sheetData/>
  <sheetProtection/>
  <printOptions/>
  <pageMargins left="0.75" right="0.75" top="1" bottom="1" header="0.4921259845" footer="0.492125984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Finspångs Solvärme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Beräkningsprogram FinSol</dc:title>
  <dc:subject/>
  <dc:creator>Magnus Moberg</dc:creator>
  <cp:keywords/>
  <dc:description/>
  <cp:lastModifiedBy>Stephan</cp:lastModifiedBy>
  <cp:lastPrinted>2011-10-16T07:28:28Z</cp:lastPrinted>
  <dcterms:created xsi:type="dcterms:W3CDTF">2007-09-04T12:42:26Z</dcterms:created>
  <dcterms:modified xsi:type="dcterms:W3CDTF">2013-05-21T11:08:06Z</dcterms:modified>
  <cp:category/>
  <cp:version/>
  <cp:contentType/>
  <cp:contentStatus/>
</cp:coreProperties>
</file>